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5" windowWidth="19320" windowHeight="12555" tabRatio="809" firstSheet="2" activeTab="2"/>
  </bookViews>
  <sheets>
    <sheet name="조정금조서 (지번별)" sheetId="3" r:id="rId1"/>
    <sheet name="조정금조서 (소유자별)" sheetId="2" r:id="rId2"/>
    <sheet name="조정금 공시송달 조서" sheetId="11" r:id="rId3"/>
  </sheets>
  <definedNames>
    <definedName name="_xlnm._FilterDatabase" localSheetId="2" hidden="1">'조정금 공시송달 조서'!$P$8:$P$21</definedName>
    <definedName name="_xlnm._FilterDatabase" localSheetId="1" hidden="1">'조정금조서 (소유자별)'!$A$9:$T$206</definedName>
    <definedName name="_xlnm._FilterDatabase" localSheetId="0" hidden="1">'조정금조서 (지번별)'!$A$10:$S$10</definedName>
    <definedName name="㎡당1_가_격">'조정금 공시송달 조서'!$I$8:$I$21</definedName>
    <definedName name="_xlnm.Print_Area" localSheetId="2">'조정금 공시송달 조서'!$A$1:$R$21</definedName>
    <definedName name="_xlnm.Print_Titles" localSheetId="2">'조정금 공시송달 조서'!$1:$7</definedName>
    <definedName name="_xlnm.Print_Titles" localSheetId="1">'조정금조서 (소유자별)'!$1:$9</definedName>
    <definedName name="_xlnm.Print_Titles" localSheetId="0">'조정금조서 (지번별)'!$1:$9</definedName>
    <definedName name="소유자">'조정금 공시송달 조서'!#REF!</definedName>
  </definedNames>
  <calcPr calcId="125725"/>
</workbook>
</file>

<file path=xl/calcChain.xml><?xml version="1.0" encoding="utf-8"?>
<calcChain xmlns="http://schemas.openxmlformats.org/spreadsheetml/2006/main">
  <c r="F12" i="11"/>
  <c r="E12"/>
  <c r="F11"/>
  <c r="E11"/>
  <c r="E21" l="1"/>
  <c r="F21"/>
  <c r="E19"/>
  <c r="F19"/>
  <c r="E20"/>
  <c r="F20"/>
  <c r="E18"/>
  <c r="F18"/>
  <c r="F17"/>
  <c r="E17"/>
  <c r="F16"/>
  <c r="E16"/>
  <c r="F15"/>
  <c r="E15"/>
  <c r="F10"/>
  <c r="E10"/>
  <c r="F9"/>
  <c r="E9"/>
  <c r="F8"/>
  <c r="E8"/>
  <c r="E14"/>
  <c r="E13"/>
  <c r="V17" i="3"/>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V88"/>
  <c r="V89"/>
  <c r="V90"/>
  <c r="V91"/>
  <c r="V92"/>
  <c r="V93"/>
  <c r="V94"/>
  <c r="V95"/>
  <c r="V96"/>
  <c r="V97"/>
  <c r="V98"/>
  <c r="V99"/>
  <c r="V100"/>
  <c r="V101"/>
  <c r="V102"/>
  <c r="V103"/>
  <c r="V104"/>
  <c r="V105"/>
  <c r="V106"/>
  <c r="V107"/>
  <c r="V108"/>
  <c r="V109"/>
  <c r="V110"/>
  <c r="V111"/>
  <c r="V112"/>
  <c r="V113"/>
  <c r="V114"/>
  <c r="V115"/>
  <c r="V116"/>
  <c r="V117"/>
  <c r="V118"/>
  <c r="V119"/>
  <c r="V120"/>
  <c r="V121"/>
  <c r="V122"/>
  <c r="V123"/>
  <c r="V124"/>
  <c r="V125"/>
  <c r="V126"/>
  <c r="V127"/>
  <c r="V128"/>
  <c r="V129"/>
  <c r="V130"/>
  <c r="V131"/>
  <c r="V132"/>
  <c r="V133"/>
  <c r="V134"/>
  <c r="V135"/>
  <c r="V136"/>
  <c r="V137"/>
  <c r="V138"/>
  <c r="V139"/>
  <c r="V140"/>
  <c r="V141"/>
  <c r="V142"/>
  <c r="V143"/>
  <c r="V144"/>
  <c r="V145"/>
  <c r="V12"/>
  <c r="V13"/>
  <c r="V14"/>
  <c r="V15"/>
  <c r="V16"/>
  <c r="V11"/>
  <c r="O205" i="2"/>
  <c r="O196"/>
  <c r="O184"/>
  <c r="O182"/>
  <c r="O179"/>
  <c r="O175"/>
  <c r="O167"/>
  <c r="O166"/>
  <c r="O151"/>
  <c r="O137"/>
  <c r="O136"/>
  <c r="O108"/>
  <c r="O105"/>
  <c r="O102"/>
  <c r="O99"/>
  <c r="O97"/>
  <c r="O95"/>
  <c r="O94"/>
  <c r="O85"/>
  <c r="O78"/>
  <c r="O65"/>
  <c r="O60"/>
  <c r="O53"/>
  <c r="O49"/>
  <c r="O42"/>
  <c r="O37"/>
  <c r="O17"/>
  <c r="M201"/>
  <c r="O201" s="1"/>
  <c r="M63"/>
  <c r="O63" s="1"/>
  <c r="M191"/>
  <c r="O191" s="1"/>
  <c r="M190"/>
  <c r="O190" s="1"/>
  <c r="M185"/>
  <c r="O185" s="1"/>
  <c r="M176"/>
  <c r="O176" s="1"/>
  <c r="M174"/>
  <c r="O174" s="1"/>
  <c r="M162"/>
  <c r="O162" s="1"/>
  <c r="M155"/>
  <c r="O155" s="1"/>
  <c r="M150"/>
  <c r="O150" s="1"/>
  <c r="M149"/>
  <c r="O149" s="1"/>
  <c r="M143"/>
  <c r="O143" s="1"/>
  <c r="M142"/>
  <c r="M140"/>
  <c r="O140" s="1"/>
  <c r="M134"/>
  <c r="O134" s="1"/>
  <c r="M133"/>
  <c r="O133" s="1"/>
  <c r="M128"/>
  <c r="O128" s="1"/>
  <c r="M127"/>
  <c r="O127" s="1"/>
  <c r="M125"/>
  <c r="M124"/>
  <c r="O124" s="1"/>
  <c r="M122"/>
  <c r="O122" s="1"/>
  <c r="M121"/>
  <c r="O121" s="1"/>
  <c r="M114"/>
  <c r="M120" s="1"/>
  <c r="M100"/>
  <c r="O100" s="1"/>
  <c r="M79"/>
  <c r="O79" s="1"/>
  <c r="O80" s="1"/>
  <c r="M72"/>
  <c r="O72" s="1"/>
  <c r="M68"/>
  <c r="M71" s="1"/>
  <c r="M66"/>
  <c r="O66" s="1"/>
  <c r="O67" s="1"/>
  <c r="M58"/>
  <c r="O58" s="1"/>
  <c r="M51"/>
  <c r="O51" s="1"/>
  <c r="M46"/>
  <c r="M45"/>
  <c r="O45" s="1"/>
  <c r="M40"/>
  <c r="M41" s="1"/>
  <c r="M138"/>
  <c r="M123"/>
  <c r="M107"/>
  <c r="M104"/>
  <c r="M96"/>
  <c r="M86"/>
  <c r="M59"/>
  <c r="M50"/>
  <c r="M44"/>
  <c r="M20"/>
  <c r="M27"/>
  <c r="M33" s="1"/>
  <c r="K25" i="3"/>
  <c r="G10"/>
  <c r="D10"/>
  <c r="E64"/>
  <c r="F64"/>
  <c r="L64"/>
  <c r="M64" s="1"/>
  <c r="J24"/>
  <c r="K24"/>
  <c r="L109"/>
  <c r="M109" s="1"/>
  <c r="J120"/>
  <c r="K120" s="1"/>
  <c r="L87"/>
  <c r="M87" s="1"/>
  <c r="L94"/>
  <c r="M94" s="1"/>
  <c r="J131"/>
  <c r="K131" s="1"/>
  <c r="L37"/>
  <c r="M37" s="1"/>
  <c r="L99"/>
  <c r="M99" s="1"/>
  <c r="L62"/>
  <c r="M62" s="1"/>
  <c r="L101"/>
  <c r="M101" s="1"/>
  <c r="J86"/>
  <c r="K86"/>
  <c r="J137"/>
  <c r="K137" s="1"/>
  <c r="J68"/>
  <c r="K68" s="1"/>
  <c r="J18"/>
  <c r="K18" s="1"/>
  <c r="J66"/>
  <c r="K66"/>
  <c r="L25"/>
  <c r="M25" s="1"/>
  <c r="J126"/>
  <c r="K126" s="1"/>
  <c r="J20"/>
  <c r="K20" s="1"/>
  <c r="J59"/>
  <c r="K59"/>
  <c r="L46"/>
  <c r="M46" s="1"/>
  <c r="J81"/>
  <c r="K81" s="1"/>
  <c r="J72"/>
  <c r="K72"/>
  <c r="J93"/>
  <c r="K93" s="1"/>
  <c r="J110"/>
  <c r="K110" s="1"/>
  <c r="L51"/>
  <c r="M51" s="1"/>
  <c r="L141"/>
  <c r="M141" s="1"/>
  <c r="L75"/>
  <c r="M75" s="1"/>
  <c r="J55"/>
  <c r="K55" s="1"/>
  <c r="J82"/>
  <c r="K82" s="1"/>
  <c r="L83"/>
  <c r="M83" s="1"/>
  <c r="J130"/>
  <c r="K130" s="1"/>
  <c r="J26"/>
  <c r="K26" s="1"/>
  <c r="L118"/>
  <c r="M118" s="1"/>
  <c r="J58"/>
  <c r="K58"/>
  <c r="L60"/>
  <c r="M60" s="1"/>
  <c r="L112"/>
  <c r="M112" s="1"/>
  <c r="J144"/>
  <c r="K144"/>
  <c r="J134"/>
  <c r="K134" s="1"/>
  <c r="J14"/>
  <c r="K14" s="1"/>
  <c r="L121"/>
  <c r="M121" s="1"/>
  <c r="L54"/>
  <c r="M54" s="1"/>
  <c r="J90"/>
  <c r="K90" s="1"/>
  <c r="J95"/>
  <c r="K95" s="1"/>
  <c r="L85"/>
  <c r="M85" s="1"/>
  <c r="J145"/>
  <c r="K145" s="1"/>
  <c r="J19"/>
  <c r="K19" s="1"/>
  <c r="L27"/>
  <c r="M27" s="1"/>
  <c r="J124"/>
  <c r="K124" s="1"/>
  <c r="J119"/>
  <c r="K119"/>
  <c r="J122"/>
  <c r="K122" s="1"/>
  <c r="L114"/>
  <c r="M114" s="1"/>
  <c r="J28"/>
  <c r="K28"/>
  <c r="J108"/>
  <c r="K108" s="1"/>
  <c r="J78"/>
  <c r="K78" s="1"/>
  <c r="L29"/>
  <c r="M29" s="1"/>
  <c r="L24"/>
  <c r="L120"/>
  <c r="L131"/>
  <c r="L86"/>
  <c r="L137"/>
  <c r="L68"/>
  <c r="L18"/>
  <c r="L66"/>
  <c r="L126"/>
  <c r="L20"/>
  <c r="L59"/>
  <c r="L81"/>
  <c r="L72"/>
  <c r="L93"/>
  <c r="L110"/>
  <c r="L55"/>
  <c r="L82"/>
  <c r="L130"/>
  <c r="L26"/>
  <c r="L58"/>
  <c r="L144"/>
  <c r="M144"/>
  <c r="L134"/>
  <c r="L14"/>
  <c r="L90"/>
  <c r="L95"/>
  <c r="L145"/>
  <c r="M145"/>
  <c r="L19"/>
  <c r="L124"/>
  <c r="L119"/>
  <c r="L122"/>
  <c r="L28"/>
  <c r="L108"/>
  <c r="L78"/>
  <c r="F29"/>
  <c r="E29"/>
  <c r="F78"/>
  <c r="E78"/>
  <c r="F108"/>
  <c r="E108"/>
  <c r="F28"/>
  <c r="E28"/>
  <c r="F114"/>
  <c r="E114"/>
  <c r="F122"/>
  <c r="E122"/>
  <c r="F119"/>
  <c r="E119"/>
  <c r="F124"/>
  <c r="E124"/>
  <c r="F27"/>
  <c r="E27"/>
  <c r="F19"/>
  <c r="E19"/>
  <c r="F145"/>
  <c r="E145"/>
  <c r="F85"/>
  <c r="E85"/>
  <c r="F95"/>
  <c r="E95"/>
  <c r="F90"/>
  <c r="E90"/>
  <c r="F54"/>
  <c r="E54"/>
  <c r="F121"/>
  <c r="E121"/>
  <c r="F14"/>
  <c r="E14"/>
  <c r="F134"/>
  <c r="E134"/>
  <c r="F144"/>
  <c r="E144"/>
  <c r="F112"/>
  <c r="E112"/>
  <c r="F60"/>
  <c r="E60"/>
  <c r="F58"/>
  <c r="E58"/>
  <c r="F118"/>
  <c r="E118"/>
  <c r="F26"/>
  <c r="E26"/>
  <c r="F130"/>
  <c r="E130"/>
  <c r="F83"/>
  <c r="E83"/>
  <c r="F82"/>
  <c r="E82"/>
  <c r="F55"/>
  <c r="E55"/>
  <c r="F75"/>
  <c r="E75"/>
  <c r="F141"/>
  <c r="E141"/>
  <c r="F51"/>
  <c r="E51"/>
  <c r="F110"/>
  <c r="E110"/>
  <c r="F93"/>
  <c r="E93"/>
  <c r="F72"/>
  <c r="E72"/>
  <c r="F81"/>
  <c r="E81"/>
  <c r="F46"/>
  <c r="E46"/>
  <c r="F59"/>
  <c r="E59"/>
  <c r="F20"/>
  <c r="E20"/>
  <c r="F126"/>
  <c r="E126"/>
  <c r="F25"/>
  <c r="E25"/>
  <c r="F66"/>
  <c r="E66"/>
  <c r="F18"/>
  <c r="E18"/>
  <c r="F68"/>
  <c r="E68"/>
  <c r="F137"/>
  <c r="E137"/>
  <c r="F86"/>
  <c r="E86"/>
  <c r="F101"/>
  <c r="E101"/>
  <c r="F62"/>
  <c r="E62"/>
  <c r="F99"/>
  <c r="E99"/>
  <c r="F37"/>
  <c r="E37"/>
  <c r="F131"/>
  <c r="E131"/>
  <c r="F94"/>
  <c r="E94"/>
  <c r="F87"/>
  <c r="E87"/>
  <c r="F120"/>
  <c r="E120"/>
  <c r="F109"/>
  <c r="E109"/>
  <c r="F24"/>
  <c r="E24"/>
  <c r="L73"/>
  <c r="M73" s="1"/>
  <c r="L77"/>
  <c r="M77" s="1"/>
  <c r="F77"/>
  <c r="E77"/>
  <c r="F73"/>
  <c r="E73"/>
  <c r="L41"/>
  <c r="M41" s="1"/>
  <c r="L47"/>
  <c r="M47" s="1"/>
  <c r="J116"/>
  <c r="K116" s="1"/>
  <c r="L117"/>
  <c r="M117" s="1"/>
  <c r="L123"/>
  <c r="M123" s="1"/>
  <c r="J127"/>
  <c r="K127" s="1"/>
  <c r="J128"/>
  <c r="K128" s="1"/>
  <c r="J133"/>
  <c r="K133" s="1"/>
  <c r="J138"/>
  <c r="K138" s="1"/>
  <c r="L139"/>
  <c r="M139" s="1"/>
  <c r="L143"/>
  <c r="M143" s="1"/>
  <c r="L116"/>
  <c r="L127"/>
  <c r="L128"/>
  <c r="L133"/>
  <c r="L138"/>
  <c r="F143"/>
  <c r="E143"/>
  <c r="F139"/>
  <c r="E139"/>
  <c r="F138"/>
  <c r="E138"/>
  <c r="F133"/>
  <c r="E133"/>
  <c r="F128"/>
  <c r="E128"/>
  <c r="F127"/>
  <c r="E127"/>
  <c r="F123"/>
  <c r="E123"/>
  <c r="F117"/>
  <c r="E117"/>
  <c r="F116"/>
  <c r="E116"/>
  <c r="F47"/>
  <c r="E47"/>
  <c r="F41"/>
  <c r="E41"/>
  <c r="L21"/>
  <c r="M21" s="1"/>
  <c r="L22"/>
  <c r="M22" s="1"/>
  <c r="F22"/>
  <c r="E22"/>
  <c r="F21"/>
  <c r="E21"/>
  <c r="L44"/>
  <c r="M44" s="1"/>
  <c r="L113"/>
  <c r="M113" s="1"/>
  <c r="F113"/>
  <c r="E113"/>
  <c r="F44"/>
  <c r="E44"/>
  <c r="L125"/>
  <c r="M125" s="1"/>
  <c r="J129"/>
  <c r="K129" s="1"/>
  <c r="L129"/>
  <c r="F129"/>
  <c r="E129"/>
  <c r="F125"/>
  <c r="E125"/>
  <c r="L42"/>
  <c r="M42" s="1"/>
  <c r="J56"/>
  <c r="K56" s="1"/>
  <c r="L56"/>
  <c r="F42"/>
  <c r="E42"/>
  <c r="L12"/>
  <c r="M12" s="1"/>
  <c r="J34"/>
  <c r="K34" s="1"/>
  <c r="L35"/>
  <c r="M35" s="1"/>
  <c r="L98"/>
  <c r="M98" s="1"/>
  <c r="L34"/>
  <c r="F98"/>
  <c r="E98"/>
  <c r="F35"/>
  <c r="E35"/>
  <c r="F34"/>
  <c r="E34"/>
  <c r="F12"/>
  <c r="E12"/>
  <c r="J11"/>
  <c r="K11"/>
  <c r="L31"/>
  <c r="M31" s="1"/>
  <c r="L100"/>
  <c r="M100" s="1"/>
  <c r="L11"/>
  <c r="J23"/>
  <c r="K23" s="1"/>
  <c r="J65"/>
  <c r="K65" s="1"/>
  <c r="L65"/>
  <c r="E65"/>
  <c r="L23"/>
  <c r="E23"/>
  <c r="J45"/>
  <c r="K45" s="1"/>
  <c r="J76"/>
  <c r="K76" s="1"/>
  <c r="L76"/>
  <c r="L45"/>
  <c r="J39"/>
  <c r="K39" s="1"/>
  <c r="L48"/>
  <c r="M48" s="1"/>
  <c r="L39"/>
  <c r="J105"/>
  <c r="K105" s="1"/>
  <c r="J106"/>
  <c r="K106" s="1"/>
  <c r="L106"/>
  <c r="L105"/>
  <c r="L30"/>
  <c r="M30" s="1"/>
  <c r="L92"/>
  <c r="M92" s="1"/>
  <c r="J43"/>
  <c r="K43" s="1"/>
  <c r="J57"/>
  <c r="K57" s="1"/>
  <c r="L57"/>
  <c r="L43"/>
  <c r="L50"/>
  <c r="M50" s="1"/>
  <c r="J61"/>
  <c r="K61" s="1"/>
  <c r="L61"/>
  <c r="L49"/>
  <c r="M49" s="1"/>
  <c r="J70"/>
  <c r="K70" s="1"/>
  <c r="J80"/>
  <c r="K80" s="1"/>
  <c r="L70"/>
  <c r="L80"/>
  <c r="F80"/>
  <c r="E80"/>
  <c r="F70"/>
  <c r="E70"/>
  <c r="F49"/>
  <c r="E49"/>
  <c r="L15"/>
  <c r="M15" s="1"/>
  <c r="L16"/>
  <c r="M16" s="1"/>
  <c r="E16"/>
  <c r="E15"/>
  <c r="L32"/>
  <c r="M32" s="1"/>
  <c r="J53"/>
  <c r="K53" s="1"/>
  <c r="J88"/>
  <c r="K88" s="1"/>
  <c r="L53"/>
  <c r="L88"/>
  <c r="F88"/>
  <c r="E88"/>
  <c r="F53"/>
  <c r="E53"/>
  <c r="F32"/>
  <c r="E32"/>
  <c r="J63"/>
  <c r="K63" s="1"/>
  <c r="J91"/>
  <c r="K91" s="1"/>
  <c r="J96"/>
  <c r="K96" s="1"/>
  <c r="L97"/>
  <c r="M97" s="1"/>
  <c r="L63"/>
  <c r="L91"/>
  <c r="L96"/>
  <c r="F97"/>
  <c r="E97"/>
  <c r="F96"/>
  <c r="E96"/>
  <c r="F91"/>
  <c r="E91"/>
  <c r="F63"/>
  <c r="E63"/>
  <c r="L33"/>
  <c r="M33" s="1"/>
  <c r="J36"/>
  <c r="K36"/>
  <c r="L74"/>
  <c r="M74" s="1"/>
  <c r="L36"/>
  <c r="F74"/>
  <c r="E74"/>
  <c r="F36"/>
  <c r="E36"/>
  <c r="F33"/>
  <c r="E33"/>
  <c r="J38"/>
  <c r="K38"/>
  <c r="L40"/>
  <c r="M40" s="1"/>
  <c r="L38"/>
  <c r="L102"/>
  <c r="M102" s="1"/>
  <c r="L103"/>
  <c r="M103" s="1"/>
  <c r="F103"/>
  <c r="E103"/>
  <c r="F102"/>
  <c r="E102"/>
  <c r="L69"/>
  <c r="M69" s="1"/>
  <c r="J71"/>
  <c r="K71" s="1"/>
  <c r="L71"/>
  <c r="L67"/>
  <c r="M67" s="1"/>
  <c r="J79"/>
  <c r="K79" s="1"/>
  <c r="J84"/>
  <c r="K84" s="1"/>
  <c r="L89"/>
  <c r="M89" s="1"/>
  <c r="L79"/>
  <c r="L84"/>
  <c r="F89"/>
  <c r="E89"/>
  <c r="F84"/>
  <c r="E84"/>
  <c r="F79"/>
  <c r="E79"/>
  <c r="F67"/>
  <c r="E67"/>
  <c r="J104"/>
  <c r="K104" s="1"/>
  <c r="J115"/>
  <c r="K115" s="1"/>
  <c r="L115"/>
  <c r="L104"/>
  <c r="J13"/>
  <c r="K13" s="1"/>
  <c r="L17"/>
  <c r="M17" s="1"/>
  <c r="L13"/>
  <c r="L52"/>
  <c r="M52" s="1"/>
  <c r="J111"/>
  <c r="K111" s="1"/>
  <c r="J140"/>
  <c r="K140" s="1"/>
  <c r="L140"/>
  <c r="F140"/>
  <c r="E140"/>
  <c r="L111"/>
  <c r="F111"/>
  <c r="E111"/>
  <c r="F52"/>
  <c r="E52"/>
  <c r="J107"/>
  <c r="K107" s="1"/>
  <c r="J132"/>
  <c r="K132" s="1"/>
  <c r="J135"/>
  <c r="K135" s="1"/>
  <c r="J136"/>
  <c r="K136" s="1"/>
  <c r="J142"/>
  <c r="K142" s="1"/>
  <c r="L142"/>
  <c r="L136"/>
  <c r="L135"/>
  <c r="L132"/>
  <c r="L107"/>
  <c r="J11" i="2"/>
  <c r="K11" s="1"/>
  <c r="J12"/>
  <c r="K12" s="1"/>
  <c r="O12" s="1"/>
  <c r="J13"/>
  <c r="K13" s="1"/>
  <c r="O13" s="1"/>
  <c r="J14"/>
  <c r="J15"/>
  <c r="K15" s="1"/>
  <c r="O15" s="1"/>
  <c r="J18"/>
  <c r="K18" s="1"/>
  <c r="J19"/>
  <c r="K19" s="1"/>
  <c r="O19" s="1"/>
  <c r="J21"/>
  <c r="K21" s="1"/>
  <c r="J34"/>
  <c r="K34" s="1"/>
  <c r="J35"/>
  <c r="K35" s="1"/>
  <c r="O35" s="1"/>
  <c r="J38"/>
  <c r="K38" s="1"/>
  <c r="J39"/>
  <c r="K39" s="1"/>
  <c r="O39" s="1"/>
  <c r="J43"/>
  <c r="J44" s="1"/>
  <c r="J48"/>
  <c r="K48" s="1"/>
  <c r="J52"/>
  <c r="K52" s="1"/>
  <c r="J55"/>
  <c r="K55" s="1"/>
  <c r="J56"/>
  <c r="K56" s="1"/>
  <c r="O56" s="1"/>
  <c r="J57"/>
  <c r="J61"/>
  <c r="K61" s="1"/>
  <c r="J62"/>
  <c r="K62" s="1"/>
  <c r="O62" s="1"/>
  <c r="J69"/>
  <c r="J70"/>
  <c r="K70" s="1"/>
  <c r="O70" s="1"/>
  <c r="J73"/>
  <c r="K73" s="1"/>
  <c r="J75"/>
  <c r="K75" s="1"/>
  <c r="J76"/>
  <c r="K76" s="1"/>
  <c r="O76" s="1"/>
  <c r="J81"/>
  <c r="K81" s="1"/>
  <c r="J82"/>
  <c r="K82" s="1"/>
  <c r="O82" s="1"/>
  <c r="J84"/>
  <c r="K84" s="1"/>
  <c r="J87"/>
  <c r="K87" s="1"/>
  <c r="J88"/>
  <c r="K88" s="1"/>
  <c r="O88" s="1"/>
  <c r="J90"/>
  <c r="K90" s="1"/>
  <c r="J91"/>
  <c r="J93"/>
  <c r="K93" s="1"/>
  <c r="J98"/>
  <c r="K98" s="1"/>
  <c r="J103"/>
  <c r="K103" s="1"/>
  <c r="J106"/>
  <c r="K106" s="1"/>
  <c r="J126"/>
  <c r="K126" s="1"/>
  <c r="J129"/>
  <c r="K129" s="1"/>
  <c r="O129" s="1"/>
  <c r="J130"/>
  <c r="K130" s="1"/>
  <c r="O130" s="1"/>
  <c r="J131"/>
  <c r="J132"/>
  <c r="K132" s="1"/>
  <c r="O132" s="1"/>
  <c r="J139"/>
  <c r="K139" s="1"/>
  <c r="J141"/>
  <c r="K141" s="1"/>
  <c r="O141" s="1"/>
  <c r="J148"/>
  <c r="J157"/>
  <c r="K157" s="1"/>
  <c r="O157" s="1"/>
  <c r="J158"/>
  <c r="K158" s="1"/>
  <c r="O158" s="1"/>
  <c r="J159"/>
  <c r="K159" s="1"/>
  <c r="O159" s="1"/>
  <c r="J160"/>
  <c r="K160" s="1"/>
  <c r="O160" s="1"/>
  <c r="J161"/>
  <c r="K161" s="1"/>
  <c r="O161" s="1"/>
  <c r="J163"/>
  <c r="K163" s="1"/>
  <c r="O163" s="1"/>
  <c r="J164"/>
  <c r="K164" s="1"/>
  <c r="O164" s="1"/>
  <c r="J165"/>
  <c r="K165" s="1"/>
  <c r="O165" s="1"/>
  <c r="J170"/>
  <c r="K170" s="1"/>
  <c r="O170" s="1"/>
  <c r="J171"/>
  <c r="K171" s="1"/>
  <c r="O171" s="1"/>
  <c r="J172"/>
  <c r="K172" s="1"/>
  <c r="O172" s="1"/>
  <c r="J173"/>
  <c r="K173" s="1"/>
  <c r="O173" s="1"/>
  <c r="J177"/>
  <c r="K177" s="1"/>
  <c r="O177" s="1"/>
  <c r="J178"/>
  <c r="K178" s="1"/>
  <c r="O178" s="1"/>
  <c r="J180"/>
  <c r="K180" s="1"/>
  <c r="O180" s="1"/>
  <c r="J181"/>
  <c r="K181" s="1"/>
  <c r="O181" s="1"/>
  <c r="J183"/>
  <c r="K183" s="1"/>
  <c r="O183" s="1"/>
  <c r="J186"/>
  <c r="K186" s="1"/>
  <c r="O186" s="1"/>
  <c r="J187"/>
  <c r="K187" s="1"/>
  <c r="O187" s="1"/>
  <c r="J188"/>
  <c r="K188" s="1"/>
  <c r="O188" s="1"/>
  <c r="J192"/>
  <c r="K192" s="1"/>
  <c r="O192" s="1"/>
  <c r="J193"/>
  <c r="K193" s="1"/>
  <c r="O193" s="1"/>
  <c r="J194"/>
  <c r="K194" s="1"/>
  <c r="O194" s="1"/>
  <c r="J195"/>
  <c r="K195" s="1"/>
  <c r="O195" s="1"/>
  <c r="J198"/>
  <c r="K198" s="1"/>
  <c r="O198" s="1"/>
  <c r="J199"/>
  <c r="K199" s="1"/>
  <c r="O199" s="1"/>
  <c r="J200"/>
  <c r="K200" s="1"/>
  <c r="O200" s="1"/>
  <c r="J202"/>
  <c r="K202" s="1"/>
  <c r="O202" s="1"/>
  <c r="J203"/>
  <c r="K203" s="1"/>
  <c r="O203" s="1"/>
  <c r="J204"/>
  <c r="K204" s="1"/>
  <c r="O204" s="1"/>
  <c r="L17"/>
  <c r="G33"/>
  <c r="D33"/>
  <c r="G16"/>
  <c r="G20"/>
  <c r="G36"/>
  <c r="G41"/>
  <c r="G44"/>
  <c r="G47"/>
  <c r="G50"/>
  <c r="G54"/>
  <c r="G59"/>
  <c r="G64"/>
  <c r="G67"/>
  <c r="G71"/>
  <c r="G74"/>
  <c r="G77"/>
  <c r="G80"/>
  <c r="G83"/>
  <c r="G86"/>
  <c r="G89"/>
  <c r="G92"/>
  <c r="G96"/>
  <c r="G101"/>
  <c r="G104"/>
  <c r="G107"/>
  <c r="G120"/>
  <c r="G123"/>
  <c r="G135"/>
  <c r="G138"/>
  <c r="G206"/>
  <c r="D16"/>
  <c r="D20"/>
  <c r="D36"/>
  <c r="D41"/>
  <c r="D44"/>
  <c r="D47"/>
  <c r="D50"/>
  <c r="D54"/>
  <c r="D59"/>
  <c r="D64"/>
  <c r="D67"/>
  <c r="D71"/>
  <c r="D74"/>
  <c r="D77"/>
  <c r="D80"/>
  <c r="D83"/>
  <c r="D86"/>
  <c r="D89"/>
  <c r="D92"/>
  <c r="D96"/>
  <c r="D101"/>
  <c r="D104"/>
  <c r="D107"/>
  <c r="D120"/>
  <c r="D123"/>
  <c r="D135"/>
  <c r="D138"/>
  <c r="D206"/>
  <c r="L139"/>
  <c r="L140"/>
  <c r="L141"/>
  <c r="L142"/>
  <c r="L143"/>
  <c r="L148"/>
  <c r="L149"/>
  <c r="L150"/>
  <c r="L151"/>
  <c r="L155"/>
  <c r="L157"/>
  <c r="L158"/>
  <c r="L159"/>
  <c r="L160"/>
  <c r="L161"/>
  <c r="L162"/>
  <c r="L163"/>
  <c r="L164"/>
  <c r="L165"/>
  <c r="L166"/>
  <c r="L167"/>
  <c r="L170"/>
  <c r="L171"/>
  <c r="L172"/>
  <c r="L173"/>
  <c r="L174"/>
  <c r="L175"/>
  <c r="L176"/>
  <c r="L177"/>
  <c r="L178"/>
  <c r="L179"/>
  <c r="L180"/>
  <c r="L181"/>
  <c r="L182"/>
  <c r="L183"/>
  <c r="L184"/>
  <c r="L185"/>
  <c r="L186"/>
  <c r="L187"/>
  <c r="L188"/>
  <c r="L190"/>
  <c r="L191"/>
  <c r="L192"/>
  <c r="L193"/>
  <c r="L63"/>
  <c r="L194"/>
  <c r="L195"/>
  <c r="L196"/>
  <c r="L198"/>
  <c r="L199"/>
  <c r="L200"/>
  <c r="L201"/>
  <c r="L202"/>
  <c r="L203"/>
  <c r="L204"/>
  <c r="L205"/>
  <c r="L126"/>
  <c r="L127"/>
  <c r="L128"/>
  <c r="L129"/>
  <c r="L130"/>
  <c r="L131"/>
  <c r="L132"/>
  <c r="L133"/>
  <c r="L134"/>
  <c r="L136"/>
  <c r="L137"/>
  <c r="L34"/>
  <c r="L35"/>
  <c r="L37"/>
  <c r="L38"/>
  <c r="L39"/>
  <c r="L40"/>
  <c r="L42"/>
  <c r="L43"/>
  <c r="L45"/>
  <c r="L46"/>
  <c r="L48"/>
  <c r="L49"/>
  <c r="L51"/>
  <c r="L52"/>
  <c r="L53"/>
  <c r="L55"/>
  <c r="L56"/>
  <c r="L57"/>
  <c r="L58"/>
  <c r="L60"/>
  <c r="L61"/>
  <c r="L62"/>
  <c r="L65"/>
  <c r="L66"/>
  <c r="L68"/>
  <c r="L69"/>
  <c r="L70"/>
  <c r="L72"/>
  <c r="L73"/>
  <c r="L75"/>
  <c r="L76"/>
  <c r="L78"/>
  <c r="L79"/>
  <c r="L81"/>
  <c r="L82"/>
  <c r="L84"/>
  <c r="L85"/>
  <c r="L87"/>
  <c r="L88"/>
  <c r="L90"/>
  <c r="L91"/>
  <c r="L93"/>
  <c r="L94"/>
  <c r="L95"/>
  <c r="L97"/>
  <c r="L98"/>
  <c r="L99"/>
  <c r="L100"/>
  <c r="L102"/>
  <c r="L103"/>
  <c r="L105"/>
  <c r="L106"/>
  <c r="L108"/>
  <c r="L114"/>
  <c r="L121"/>
  <c r="L122"/>
  <c r="L124"/>
  <c r="L125"/>
  <c r="L18"/>
  <c r="L19"/>
  <c r="L21"/>
  <c r="L27"/>
  <c r="O27"/>
  <c r="L12"/>
  <c r="L13"/>
  <c r="L14"/>
  <c r="L15"/>
  <c r="L11"/>
  <c r="J33"/>
  <c r="J41"/>
  <c r="J86"/>
  <c r="E161"/>
  <c r="E172"/>
  <c r="E173"/>
  <c r="E174"/>
  <c r="E175"/>
  <c r="E176"/>
  <c r="E177"/>
  <c r="E178"/>
  <c r="E179"/>
  <c r="E180"/>
  <c r="E181"/>
  <c r="E182"/>
  <c r="E183"/>
  <c r="E184"/>
  <c r="E185"/>
  <c r="E186"/>
  <c r="E187"/>
  <c r="E188"/>
  <c r="E190"/>
  <c r="E191"/>
  <c r="E192"/>
  <c r="E193"/>
  <c r="E63"/>
  <c r="E194"/>
  <c r="E195"/>
  <c r="E196"/>
  <c r="E198"/>
  <c r="E199"/>
  <c r="E200"/>
  <c r="E201"/>
  <c r="E202"/>
  <c r="E203"/>
  <c r="E204"/>
  <c r="E205"/>
  <c r="F163"/>
  <c r="F164"/>
  <c r="F165"/>
  <c r="F166"/>
  <c r="F167"/>
  <c r="F170"/>
  <c r="F171"/>
  <c r="F172"/>
  <c r="F173"/>
  <c r="F174"/>
  <c r="F175"/>
  <c r="F176"/>
  <c r="F177"/>
  <c r="F178"/>
  <c r="F179"/>
  <c r="F180"/>
  <c r="F181"/>
  <c r="F182"/>
  <c r="F183"/>
  <c r="F184"/>
  <c r="F185"/>
  <c r="F186"/>
  <c r="F187"/>
  <c r="F188"/>
  <c r="F190"/>
  <c r="F191"/>
  <c r="F192"/>
  <c r="F193"/>
  <c r="F63"/>
  <c r="F194"/>
  <c r="F195"/>
  <c r="F196"/>
  <c r="F198"/>
  <c r="F199"/>
  <c r="F200"/>
  <c r="F201"/>
  <c r="F202"/>
  <c r="F203"/>
  <c r="F204"/>
  <c r="F205"/>
  <c r="E98"/>
  <c r="E99"/>
  <c r="E100"/>
  <c r="E102"/>
  <c r="E105"/>
  <c r="E106"/>
  <c r="E108"/>
  <c r="E114"/>
  <c r="E121"/>
  <c r="E122"/>
  <c r="E124"/>
  <c r="E125"/>
  <c r="E126"/>
  <c r="E127"/>
  <c r="E128"/>
  <c r="E129"/>
  <c r="E130"/>
  <c r="E131"/>
  <c r="E132"/>
  <c r="E133"/>
  <c r="E134"/>
  <c r="E136"/>
  <c r="E137"/>
  <c r="E139"/>
  <c r="E140"/>
  <c r="E141"/>
  <c r="E142"/>
  <c r="E143"/>
  <c r="E148"/>
  <c r="E149"/>
  <c r="E150"/>
  <c r="E151"/>
  <c r="E155"/>
  <c r="E157"/>
  <c r="E158"/>
  <c r="E159"/>
  <c r="E160"/>
  <c r="E162"/>
  <c r="E163"/>
  <c r="E164"/>
  <c r="E165"/>
  <c r="E166"/>
  <c r="E167"/>
  <c r="E170"/>
  <c r="E171"/>
  <c r="E97"/>
  <c r="F98"/>
  <c r="F99"/>
  <c r="F100"/>
  <c r="F102"/>
  <c r="F105"/>
  <c r="F106"/>
  <c r="F108"/>
  <c r="F114"/>
  <c r="F121"/>
  <c r="F122"/>
  <c r="F124"/>
  <c r="F125"/>
  <c r="F126"/>
  <c r="F127"/>
  <c r="F128"/>
  <c r="F129"/>
  <c r="F130"/>
  <c r="F131"/>
  <c r="F132"/>
  <c r="F133"/>
  <c r="F134"/>
  <c r="F136"/>
  <c r="F137"/>
  <c r="F139"/>
  <c r="F140"/>
  <c r="F141"/>
  <c r="F142"/>
  <c r="F143"/>
  <c r="F148"/>
  <c r="F149"/>
  <c r="F150"/>
  <c r="F151"/>
  <c r="F155"/>
  <c r="F157"/>
  <c r="F158"/>
  <c r="F159"/>
  <c r="F160"/>
  <c r="F161"/>
  <c r="F162"/>
  <c r="F97"/>
  <c r="E91"/>
  <c r="E90"/>
  <c r="F69"/>
  <c r="F70"/>
  <c r="F68"/>
  <c r="E69"/>
  <c r="E70"/>
  <c r="E68"/>
  <c r="E66"/>
  <c r="E65"/>
  <c r="F61"/>
  <c r="F62"/>
  <c r="F60"/>
  <c r="E62"/>
  <c r="E61"/>
  <c r="E60"/>
  <c r="E56"/>
  <c r="E57"/>
  <c r="E58"/>
  <c r="F56"/>
  <c r="F57"/>
  <c r="F58"/>
  <c r="F55"/>
  <c r="E55"/>
  <c r="E52"/>
  <c r="E53"/>
  <c r="F52"/>
  <c r="F53"/>
  <c r="F51"/>
  <c r="E51"/>
  <c r="E46"/>
  <c r="F46"/>
  <c r="F45"/>
  <c r="E45"/>
  <c r="E38"/>
  <c r="E39"/>
  <c r="E40"/>
  <c r="F38"/>
  <c r="F39"/>
  <c r="F40"/>
  <c r="F37"/>
  <c r="E37"/>
  <c r="E18"/>
  <c r="E19"/>
  <c r="F18"/>
  <c r="F19"/>
  <c r="F17"/>
  <c r="E17"/>
  <c r="G10"/>
  <c r="J77"/>
  <c r="L50"/>
  <c r="L74"/>
  <c r="J10" i="3"/>
  <c r="L54" i="2"/>
  <c r="M11" i="3"/>
  <c r="M10" s="1"/>
  <c r="O138" i="2"/>
  <c r="J107"/>
  <c r="J101"/>
  <c r="L104"/>
  <c r="L10" i="3"/>
  <c r="L47" i="2"/>
  <c r="J89"/>
  <c r="J83"/>
  <c r="L20"/>
  <c r="M146" i="3" l="1"/>
  <c r="L64" i="2"/>
  <c r="M64"/>
  <c r="L107"/>
  <c r="L67"/>
  <c r="L44"/>
  <c r="L138"/>
  <c r="J96"/>
  <c r="L120"/>
  <c r="M101"/>
  <c r="L101"/>
  <c r="L41"/>
  <c r="J92"/>
  <c r="M67"/>
  <c r="L59"/>
  <c r="L33"/>
  <c r="L71"/>
  <c r="D10"/>
  <c r="J64"/>
  <c r="J16"/>
  <c r="M47"/>
  <c r="M135"/>
  <c r="L135"/>
  <c r="L206"/>
  <c r="L123"/>
  <c r="L96"/>
  <c r="L86"/>
  <c r="L80"/>
  <c r="J206"/>
  <c r="J135"/>
  <c r="J71"/>
  <c r="J59"/>
  <c r="M54"/>
  <c r="M74"/>
  <c r="M206"/>
  <c r="K104"/>
  <c r="O103"/>
  <c r="O104" s="1"/>
  <c r="O11"/>
  <c r="O126"/>
  <c r="K83"/>
  <c r="O81"/>
  <c r="O83" s="1"/>
  <c r="K64"/>
  <c r="O61"/>
  <c r="O64" s="1"/>
  <c r="K54"/>
  <c r="O52"/>
  <c r="O54" s="1"/>
  <c r="K41"/>
  <c r="O38"/>
  <c r="O123"/>
  <c r="O139"/>
  <c r="K101"/>
  <c r="O98"/>
  <c r="O101" s="1"/>
  <c r="O90"/>
  <c r="K74"/>
  <c r="O73"/>
  <c r="O74" s="1"/>
  <c r="O55"/>
  <c r="K33"/>
  <c r="O21"/>
  <c r="O33" s="1"/>
  <c r="K77"/>
  <c r="O75"/>
  <c r="O77" s="1"/>
  <c r="K36"/>
  <c r="O34"/>
  <c r="O36" s="1"/>
  <c r="K86"/>
  <c r="O84"/>
  <c r="O86" s="1"/>
  <c r="K107"/>
  <c r="O106"/>
  <c r="O107" s="1"/>
  <c r="K96"/>
  <c r="O93"/>
  <c r="O96" s="1"/>
  <c r="K89"/>
  <c r="O87"/>
  <c r="O89" s="1"/>
  <c r="O48"/>
  <c r="O50" s="1"/>
  <c r="K50"/>
  <c r="K20"/>
  <c r="O18"/>
  <c r="O20" s="1"/>
  <c r="K10" i="3"/>
  <c r="L3" s="1"/>
  <c r="K43" i="2"/>
  <c r="K57"/>
  <c r="O57" s="1"/>
  <c r="K69"/>
  <c r="K148"/>
  <c r="O148" s="1"/>
  <c r="O40"/>
  <c r="O46"/>
  <c r="O47" s="1"/>
  <c r="O114"/>
  <c r="O120" s="1"/>
  <c r="O125"/>
  <c r="J74"/>
  <c r="J104"/>
  <c r="J54"/>
  <c r="K91"/>
  <c r="O91" s="1"/>
  <c r="M80"/>
  <c r="O68"/>
  <c r="K14"/>
  <c r="O14" s="1"/>
  <c r="K131"/>
  <c r="O131" s="1"/>
  <c r="O142"/>
  <c r="J36"/>
  <c r="J20"/>
  <c r="J50"/>
  <c r="L10" l="1"/>
  <c r="M10"/>
  <c r="O135"/>
  <c r="K59"/>
  <c r="K92"/>
  <c r="K206"/>
  <c r="O41"/>
  <c r="O59"/>
  <c r="J10"/>
  <c r="O92"/>
  <c r="K135"/>
  <c r="K71"/>
  <c r="O69"/>
  <c r="O71" s="1"/>
  <c r="O43"/>
  <c r="O44" s="1"/>
  <c r="K44"/>
  <c r="O206"/>
  <c r="K16"/>
  <c r="O16"/>
  <c r="O10" l="1"/>
  <c r="K10"/>
</calcChain>
</file>

<file path=xl/sharedStrings.xml><?xml version="1.0" encoding="utf-8"?>
<sst xmlns="http://schemas.openxmlformats.org/spreadsheetml/2006/main" count="1301" uniqueCount="523">
  <si>
    <t>■ 지적재조사에 관한 특별법 시행규칙 [별지 제4호서식]</t>
  </si>
  <si>
    <t>대</t>
  </si>
  <si>
    <t>대</t>
    <phoneticPr fontId="2" type="noConversion"/>
  </si>
  <si>
    <t>전</t>
    <phoneticPr fontId="2" type="noConversion"/>
  </si>
  <si>
    <t>김*옥</t>
    <phoneticPr fontId="2" type="noConversion"/>
  </si>
  <si>
    <t>김*현</t>
    <phoneticPr fontId="2" type="noConversion"/>
  </si>
  <si>
    <t xml:space="preserve"> </t>
  </si>
  <si>
    <t>답</t>
    <phoneticPr fontId="2" type="noConversion"/>
  </si>
  <si>
    <t>곽*정</t>
    <phoneticPr fontId="2" type="noConversion"/>
  </si>
  <si>
    <t>461-1</t>
    <phoneticPr fontId="2" type="noConversion"/>
  </si>
  <si>
    <t>495-3</t>
    <phoneticPr fontId="2" type="noConversion"/>
  </si>
  <si>
    <t>189-1</t>
    <phoneticPr fontId="2" type="noConversion"/>
  </si>
  <si>
    <t>김*복외 5</t>
    <phoneticPr fontId="2" type="noConversion"/>
  </si>
  <si>
    <t>354-9</t>
    <phoneticPr fontId="2" type="noConversion"/>
  </si>
  <si>
    <t>김*완</t>
    <phoneticPr fontId="2" type="noConversion"/>
  </si>
  <si>
    <t>235-7</t>
    <phoneticPr fontId="2" type="noConversion"/>
  </si>
  <si>
    <t>김*희</t>
    <phoneticPr fontId="2" type="noConversion"/>
  </si>
  <si>
    <t>김*구</t>
    <phoneticPr fontId="2" type="noConversion"/>
  </si>
  <si>
    <t>296-2</t>
    <phoneticPr fontId="2" type="noConversion"/>
  </si>
  <si>
    <t>296-3</t>
    <phoneticPr fontId="2" type="noConversion"/>
  </si>
  <si>
    <t>하천</t>
    <phoneticPr fontId="2" type="noConversion"/>
  </si>
  <si>
    <t>제방</t>
    <phoneticPr fontId="2" type="noConversion"/>
  </si>
  <si>
    <t>김*복</t>
    <phoneticPr fontId="2" type="noConversion"/>
  </si>
  <si>
    <t>김*애</t>
    <phoneticPr fontId="2" type="noConversion"/>
  </si>
  <si>
    <t>157-1</t>
    <phoneticPr fontId="2" type="noConversion"/>
  </si>
  <si>
    <t>157-4</t>
    <phoneticPr fontId="2" type="noConversion"/>
  </si>
  <si>
    <t>김*환</t>
    <phoneticPr fontId="2" type="noConversion"/>
  </si>
  <si>
    <t>201-2</t>
    <phoneticPr fontId="2" type="noConversion"/>
  </si>
  <si>
    <t>과수원</t>
    <phoneticPr fontId="2" type="noConversion"/>
  </si>
  <si>
    <t>156-4</t>
    <phoneticPr fontId="2" type="noConversion"/>
  </si>
  <si>
    <t>189-2</t>
    <phoneticPr fontId="2" type="noConversion"/>
  </si>
  <si>
    <t>235-3</t>
    <phoneticPr fontId="2" type="noConversion"/>
  </si>
  <si>
    <t>김*흠</t>
    <phoneticPr fontId="2" type="noConversion"/>
  </si>
  <si>
    <t>85-2</t>
    <phoneticPr fontId="2" type="noConversion"/>
  </si>
  <si>
    <t>85-3</t>
    <phoneticPr fontId="2" type="noConversion"/>
  </si>
  <si>
    <t>김*래</t>
    <phoneticPr fontId="2" type="noConversion"/>
  </si>
  <si>
    <t>183-2</t>
    <phoneticPr fontId="2" type="noConversion"/>
  </si>
  <si>
    <t>211-1</t>
    <phoneticPr fontId="2" type="noConversion"/>
  </si>
  <si>
    <t>김*오</t>
    <phoneticPr fontId="2" type="noConversion"/>
  </si>
  <si>
    <t>169-1</t>
    <phoneticPr fontId="2" type="noConversion"/>
  </si>
  <si>
    <t>185-1</t>
    <phoneticPr fontId="2" type="noConversion"/>
  </si>
  <si>
    <t>200-2</t>
    <phoneticPr fontId="2" type="noConversion"/>
  </si>
  <si>
    <t>김*우</t>
    <phoneticPr fontId="2" type="noConversion"/>
  </si>
  <si>
    <t>덕수이씨******종중</t>
    <phoneticPr fontId="2" type="noConversion"/>
  </si>
  <si>
    <t>299-1</t>
    <phoneticPr fontId="2" type="noConversion"/>
  </si>
  <si>
    <t>299-2</t>
    <phoneticPr fontId="2" type="noConversion"/>
  </si>
  <si>
    <t>도로</t>
    <phoneticPr fontId="2" type="noConversion"/>
  </si>
  <si>
    <t>박*용</t>
    <phoneticPr fontId="2" type="noConversion"/>
  </si>
  <si>
    <t>160-1</t>
    <phoneticPr fontId="2" type="noConversion"/>
  </si>
  <si>
    <t>183-1</t>
    <phoneticPr fontId="2" type="noConversion"/>
  </si>
  <si>
    <t>배*필</t>
    <phoneticPr fontId="2" type="noConversion"/>
  </si>
  <si>
    <t>배*신</t>
    <phoneticPr fontId="2" type="noConversion"/>
  </si>
  <si>
    <t>93-3</t>
    <phoneticPr fontId="2" type="noConversion"/>
  </si>
  <si>
    <t>오*옥</t>
    <phoneticPr fontId="2" type="noConversion"/>
  </si>
  <si>
    <t>156-1</t>
    <phoneticPr fontId="2" type="noConversion"/>
  </si>
  <si>
    <t>253-1</t>
    <phoneticPr fontId="2" type="noConversion"/>
  </si>
  <si>
    <t>이*오</t>
    <phoneticPr fontId="2" type="noConversion"/>
  </si>
  <si>
    <t>157-2</t>
    <phoneticPr fontId="2" type="noConversion"/>
  </si>
  <si>
    <t>157-3</t>
    <phoneticPr fontId="2" type="noConversion"/>
  </si>
  <si>
    <t>이*태</t>
    <phoneticPr fontId="2" type="noConversion"/>
  </si>
  <si>
    <t>이*규</t>
    <phoneticPr fontId="2" type="noConversion"/>
  </si>
  <si>
    <t>405-1</t>
    <phoneticPr fontId="2" type="noConversion"/>
  </si>
  <si>
    <t>419-1</t>
    <phoneticPr fontId="2" type="noConversion"/>
  </si>
  <si>
    <t>이*영</t>
    <phoneticPr fontId="2" type="noConversion"/>
  </si>
  <si>
    <t>이*승외 5</t>
    <phoneticPr fontId="2" type="noConversion"/>
  </si>
  <si>
    <t>93-1</t>
    <phoneticPr fontId="2" type="noConversion"/>
  </si>
  <si>
    <t>93-2</t>
    <phoneticPr fontId="2" type="noConversion"/>
  </si>
  <si>
    <t>장*순</t>
    <phoneticPr fontId="2" type="noConversion"/>
  </si>
  <si>
    <t>164-3</t>
    <phoneticPr fontId="2" type="noConversion"/>
  </si>
  <si>
    <t>375-5</t>
    <phoneticPr fontId="2" type="noConversion"/>
  </si>
  <si>
    <t>378-1</t>
    <phoneticPr fontId="2" type="noConversion"/>
  </si>
  <si>
    <t>387-1</t>
    <phoneticPr fontId="2" type="noConversion"/>
  </si>
  <si>
    <t>418-2</t>
    <phoneticPr fontId="2" type="noConversion"/>
  </si>
  <si>
    <t>472-2</t>
    <phoneticPr fontId="2" type="noConversion"/>
  </si>
  <si>
    <t>482-5</t>
    <phoneticPr fontId="2" type="noConversion"/>
  </si>
  <si>
    <t>490-1</t>
    <phoneticPr fontId="2" type="noConversion"/>
  </si>
  <si>
    <t>497-4</t>
    <phoneticPr fontId="2" type="noConversion"/>
  </si>
  <si>
    <t>구거</t>
    <phoneticPr fontId="2" type="noConversion"/>
  </si>
  <si>
    <t>한국농어촌공사</t>
    <phoneticPr fontId="2" type="noConversion"/>
  </si>
  <si>
    <t>함창김씨****종중</t>
    <phoneticPr fontId="2" type="noConversion"/>
  </si>
  <si>
    <t>95-3</t>
    <phoneticPr fontId="2" type="noConversion"/>
  </si>
  <si>
    <t>강*희</t>
    <phoneticPr fontId="2" type="noConversion"/>
  </si>
  <si>
    <t>고*달</t>
    <phoneticPr fontId="2" type="noConversion"/>
  </si>
  <si>
    <t>383-2</t>
    <phoneticPr fontId="2" type="noConversion"/>
  </si>
  <si>
    <t>곽*하</t>
    <phoneticPr fontId="2" type="noConversion"/>
  </si>
  <si>
    <t>235-2</t>
    <phoneticPr fontId="2" type="noConversion"/>
  </si>
  <si>
    <t>247-2</t>
    <phoneticPr fontId="2" type="noConversion"/>
  </si>
  <si>
    <t>김*복외 4</t>
    <phoneticPr fontId="2" type="noConversion"/>
  </si>
  <si>
    <t>김*봉</t>
    <phoneticPr fontId="2" type="noConversion"/>
  </si>
  <si>
    <t>김*원</t>
    <phoneticPr fontId="2" type="noConversion"/>
  </si>
  <si>
    <t>김*석</t>
    <phoneticPr fontId="2" type="noConversion"/>
  </si>
  <si>
    <t>201-1</t>
    <phoneticPr fontId="2" type="noConversion"/>
  </si>
  <si>
    <t>김*진외 3</t>
    <phoneticPr fontId="2" type="noConversion"/>
  </si>
  <si>
    <t>253-2</t>
    <phoneticPr fontId="2" type="noConversion"/>
  </si>
  <si>
    <t>김*수외 1</t>
    <phoneticPr fontId="2" type="noConversion"/>
  </si>
  <si>
    <t>김*수</t>
    <phoneticPr fontId="2" type="noConversion"/>
  </si>
  <si>
    <t>478-2</t>
    <phoneticPr fontId="2" type="noConversion"/>
  </si>
  <si>
    <t>김*연</t>
    <phoneticPr fontId="2" type="noConversion"/>
  </si>
  <si>
    <t>김*욱</t>
    <phoneticPr fontId="2" type="noConversion"/>
  </si>
  <si>
    <t>김*은</t>
    <phoneticPr fontId="2" type="noConversion"/>
  </si>
  <si>
    <t>김*순</t>
    <phoneticPr fontId="2" type="noConversion"/>
  </si>
  <si>
    <t>411-3</t>
    <phoneticPr fontId="2" type="noConversion"/>
  </si>
  <si>
    <t>묘지</t>
    <phoneticPr fontId="2" type="noConversion"/>
  </si>
  <si>
    <t>199-1</t>
    <phoneticPr fontId="2" type="noConversion"/>
  </si>
  <si>
    <t>김*추</t>
    <phoneticPr fontId="2" type="noConversion"/>
  </si>
  <si>
    <t>김*태</t>
    <phoneticPr fontId="2" type="noConversion"/>
  </si>
  <si>
    <t>김*흠외 2</t>
    <phoneticPr fontId="2" type="noConversion"/>
  </si>
  <si>
    <t>김*숙</t>
    <phoneticPr fontId="2" type="noConversion"/>
  </si>
  <si>
    <t>215-1</t>
    <phoneticPr fontId="2" type="noConversion"/>
  </si>
  <si>
    <t>김*용</t>
    <phoneticPr fontId="2" type="noConversion"/>
  </si>
  <si>
    <t>187-1</t>
    <phoneticPr fontId="2" type="noConversion"/>
  </si>
  <si>
    <t>495-1</t>
    <phoneticPr fontId="2" type="noConversion"/>
  </si>
  <si>
    <t>218-1</t>
    <phoneticPr fontId="2" type="noConversion"/>
  </si>
  <si>
    <t>김*솔</t>
    <phoneticPr fontId="2" type="noConversion"/>
  </si>
  <si>
    <t>김*기</t>
    <phoneticPr fontId="2" type="noConversion"/>
  </si>
  <si>
    <t>227-5</t>
    <phoneticPr fontId="2" type="noConversion"/>
  </si>
  <si>
    <t>박*호</t>
    <phoneticPr fontId="2" type="noConversion"/>
  </si>
  <si>
    <t>227-6</t>
    <phoneticPr fontId="2" type="noConversion"/>
  </si>
  <si>
    <t>박*연</t>
    <phoneticPr fontId="2" type="noConversion"/>
  </si>
  <si>
    <t>박*하</t>
    <phoneticPr fontId="2" type="noConversion"/>
  </si>
  <si>
    <t>378-2</t>
    <phoneticPr fontId="2" type="noConversion"/>
  </si>
  <si>
    <t>박*태</t>
    <phoneticPr fontId="2" type="noConversion"/>
  </si>
  <si>
    <t>199-2</t>
    <phoneticPr fontId="2" type="noConversion"/>
  </si>
  <si>
    <t>박*순</t>
    <phoneticPr fontId="2" type="noConversion"/>
  </si>
  <si>
    <t>317-2</t>
    <phoneticPr fontId="2" type="noConversion"/>
  </si>
  <si>
    <t>임야</t>
    <phoneticPr fontId="2" type="noConversion"/>
  </si>
  <si>
    <t>백*순</t>
    <phoneticPr fontId="2" type="noConversion"/>
  </si>
  <si>
    <t>724-4</t>
    <phoneticPr fontId="2" type="noConversion"/>
  </si>
  <si>
    <t>송*용</t>
    <phoneticPr fontId="2" type="noConversion"/>
  </si>
  <si>
    <t>송*재</t>
    <phoneticPr fontId="2" type="noConversion"/>
  </si>
  <si>
    <t>안*순외 1</t>
    <phoneticPr fontId="2" type="noConversion"/>
  </si>
  <si>
    <t>84-1</t>
    <phoneticPr fontId="2" type="noConversion"/>
  </si>
  <si>
    <t>384-2</t>
    <phoneticPr fontId="2" type="noConversion"/>
  </si>
  <si>
    <t>양*순</t>
    <phoneticPr fontId="2" type="noConversion"/>
  </si>
  <si>
    <t>190-2</t>
    <phoneticPr fontId="2" type="noConversion"/>
  </si>
  <si>
    <t>육*철</t>
    <phoneticPr fontId="2" type="noConversion"/>
  </si>
  <si>
    <t>이*갑</t>
    <phoneticPr fontId="2" type="noConversion"/>
  </si>
  <si>
    <t>247-3</t>
    <phoneticPr fontId="2" type="noConversion"/>
  </si>
  <si>
    <t>이*화</t>
    <phoneticPr fontId="2" type="noConversion"/>
  </si>
  <si>
    <t>이*성</t>
    <phoneticPr fontId="2" type="noConversion"/>
  </si>
  <si>
    <t>724-5</t>
    <phoneticPr fontId="2" type="noConversion"/>
  </si>
  <si>
    <t>이*승</t>
    <phoneticPr fontId="2" type="noConversion"/>
  </si>
  <si>
    <t>이*지</t>
    <phoneticPr fontId="2" type="noConversion"/>
  </si>
  <si>
    <t>장*옥외 1</t>
    <phoneticPr fontId="2" type="noConversion"/>
  </si>
  <si>
    <t>전*옥</t>
    <phoneticPr fontId="2" type="noConversion"/>
  </si>
  <si>
    <t>380-1</t>
    <phoneticPr fontId="2" type="noConversion"/>
  </si>
  <si>
    <t>정*식</t>
    <phoneticPr fontId="2" type="noConversion"/>
  </si>
  <si>
    <t>384-4</t>
    <phoneticPr fontId="2" type="noConversion"/>
  </si>
  <si>
    <t>조*배</t>
    <phoneticPr fontId="2" type="noConversion"/>
  </si>
  <si>
    <t>조*우</t>
    <phoneticPr fontId="2" type="noConversion"/>
  </si>
  <si>
    <t>최*화</t>
    <phoneticPr fontId="2" type="noConversion"/>
  </si>
  <si>
    <t>진*원</t>
    <phoneticPr fontId="2" type="noConversion"/>
  </si>
  <si>
    <t>허*순</t>
    <phoneticPr fontId="2" type="noConversion"/>
  </si>
  <si>
    <t>호탄리**마을회</t>
    <phoneticPr fontId="2" type="noConversion"/>
  </si>
  <si>
    <t>조 정 금 조 서 (지번별)</t>
    <phoneticPr fontId="2" type="noConversion"/>
  </si>
  <si>
    <t>지  구  명  : 영동군 호탄지구</t>
    <phoneticPr fontId="2" type="noConversion"/>
  </si>
  <si>
    <t>토지소재지: 영동군 양산면 호탄리</t>
    <phoneticPr fontId="2" type="noConversion"/>
  </si>
  <si>
    <t>종전 토지</t>
    <phoneticPr fontId="2" type="noConversion"/>
  </si>
  <si>
    <t>확정된 토지</t>
    <phoneticPr fontId="2" type="noConversion"/>
  </si>
  <si>
    <t>증</t>
    <phoneticPr fontId="2" type="noConversion"/>
  </si>
  <si>
    <t>감</t>
    <phoneticPr fontId="2" type="noConversion"/>
  </si>
  <si>
    <t>조 정 금 조 서 (소유자별)</t>
    <phoneticPr fontId="2" type="noConversion"/>
  </si>
  <si>
    <t>답</t>
    <phoneticPr fontId="2" type="noConversion"/>
  </si>
  <si>
    <t>461-1</t>
    <phoneticPr fontId="2" type="noConversion"/>
  </si>
  <si>
    <t>전</t>
    <phoneticPr fontId="2" type="noConversion"/>
  </si>
  <si>
    <t>495-3</t>
    <phoneticPr fontId="2" type="noConversion"/>
  </si>
  <si>
    <t>189-1</t>
    <phoneticPr fontId="2" type="noConversion"/>
  </si>
  <si>
    <t>전</t>
    <phoneticPr fontId="2" type="noConversion"/>
  </si>
  <si>
    <t>전</t>
    <phoneticPr fontId="2" type="noConversion"/>
  </si>
  <si>
    <t>답</t>
    <phoneticPr fontId="2" type="noConversion"/>
  </si>
  <si>
    <t>354-9</t>
    <phoneticPr fontId="2" type="noConversion"/>
  </si>
  <si>
    <t>대</t>
    <phoneticPr fontId="2" type="noConversion"/>
  </si>
  <si>
    <t>235-7</t>
    <phoneticPr fontId="2" type="noConversion"/>
  </si>
  <si>
    <t>296-2</t>
    <phoneticPr fontId="2" type="noConversion"/>
  </si>
  <si>
    <t>제방</t>
    <phoneticPr fontId="2" type="noConversion"/>
  </si>
  <si>
    <t>296-3</t>
    <phoneticPr fontId="2" type="noConversion"/>
  </si>
  <si>
    <t>하천</t>
    <phoneticPr fontId="2" type="noConversion"/>
  </si>
  <si>
    <t>답</t>
    <phoneticPr fontId="2" type="noConversion"/>
  </si>
  <si>
    <t>전</t>
    <phoneticPr fontId="2" type="noConversion"/>
  </si>
  <si>
    <t>157-1</t>
    <phoneticPr fontId="2" type="noConversion"/>
  </si>
  <si>
    <t>157-4</t>
    <phoneticPr fontId="2" type="noConversion"/>
  </si>
  <si>
    <t>대</t>
    <phoneticPr fontId="2" type="noConversion"/>
  </si>
  <si>
    <t>201-2</t>
    <phoneticPr fontId="2" type="noConversion"/>
  </si>
  <si>
    <t>과수원</t>
    <phoneticPr fontId="2" type="noConversion"/>
  </si>
  <si>
    <t>156-4</t>
    <phoneticPr fontId="2" type="noConversion"/>
  </si>
  <si>
    <t>189-2</t>
    <phoneticPr fontId="2" type="noConversion"/>
  </si>
  <si>
    <t>235-3</t>
    <phoneticPr fontId="2" type="noConversion"/>
  </si>
  <si>
    <t>85-2</t>
    <phoneticPr fontId="2" type="noConversion"/>
  </si>
  <si>
    <t>85-3</t>
    <phoneticPr fontId="2" type="noConversion"/>
  </si>
  <si>
    <t>183-2</t>
    <phoneticPr fontId="2" type="noConversion"/>
  </si>
  <si>
    <t>211-1</t>
    <phoneticPr fontId="2" type="noConversion"/>
  </si>
  <si>
    <t>185-1</t>
    <phoneticPr fontId="2" type="noConversion"/>
  </si>
  <si>
    <t>200-2</t>
    <phoneticPr fontId="2" type="noConversion"/>
  </si>
  <si>
    <t>169-1</t>
    <phoneticPr fontId="2" type="noConversion"/>
  </si>
  <si>
    <t>299-1</t>
    <phoneticPr fontId="2" type="noConversion"/>
  </si>
  <si>
    <t>답</t>
    <phoneticPr fontId="2" type="noConversion"/>
  </si>
  <si>
    <t>299-2</t>
    <phoneticPr fontId="2" type="noConversion"/>
  </si>
  <si>
    <t>도로</t>
    <phoneticPr fontId="2" type="noConversion"/>
  </si>
  <si>
    <t>160-1</t>
    <phoneticPr fontId="2" type="noConversion"/>
  </si>
  <si>
    <t>183-1</t>
    <phoneticPr fontId="2" type="noConversion"/>
  </si>
  <si>
    <t>93-3</t>
    <phoneticPr fontId="2" type="noConversion"/>
  </si>
  <si>
    <t>156-1</t>
    <phoneticPr fontId="2" type="noConversion"/>
  </si>
  <si>
    <t>대</t>
    <phoneticPr fontId="2" type="noConversion"/>
  </si>
  <si>
    <t>253-1</t>
    <phoneticPr fontId="2" type="noConversion"/>
  </si>
  <si>
    <t>157-2</t>
    <phoneticPr fontId="2" type="noConversion"/>
  </si>
  <si>
    <t>157-3</t>
    <phoneticPr fontId="2" type="noConversion"/>
  </si>
  <si>
    <t>405-1</t>
    <phoneticPr fontId="2" type="noConversion"/>
  </si>
  <si>
    <t>419-1</t>
    <phoneticPr fontId="2" type="noConversion"/>
  </si>
  <si>
    <t>93-1</t>
    <phoneticPr fontId="2" type="noConversion"/>
  </si>
  <si>
    <t>93-2</t>
    <phoneticPr fontId="2" type="noConversion"/>
  </si>
  <si>
    <t>164-3</t>
    <phoneticPr fontId="2" type="noConversion"/>
  </si>
  <si>
    <t>구거</t>
    <phoneticPr fontId="2" type="noConversion"/>
  </si>
  <si>
    <t>한국농어촌공사</t>
    <phoneticPr fontId="2" type="noConversion"/>
  </si>
  <si>
    <t>답</t>
    <phoneticPr fontId="2" type="noConversion"/>
  </si>
  <si>
    <t>375-5</t>
    <phoneticPr fontId="2" type="noConversion"/>
  </si>
  <si>
    <t>구거</t>
    <phoneticPr fontId="2" type="noConversion"/>
  </si>
  <si>
    <t>378-1</t>
    <phoneticPr fontId="2" type="noConversion"/>
  </si>
  <si>
    <t>387-1</t>
    <phoneticPr fontId="2" type="noConversion"/>
  </si>
  <si>
    <t>418-2</t>
    <phoneticPr fontId="2" type="noConversion"/>
  </si>
  <si>
    <t>472-2</t>
    <phoneticPr fontId="2" type="noConversion"/>
  </si>
  <si>
    <t>482-5</t>
    <phoneticPr fontId="2" type="noConversion"/>
  </si>
  <si>
    <t>490-1</t>
    <phoneticPr fontId="2" type="noConversion"/>
  </si>
  <si>
    <t>497-4</t>
    <phoneticPr fontId="2" type="noConversion"/>
  </si>
  <si>
    <t>전</t>
    <phoneticPr fontId="2" type="noConversion"/>
  </si>
  <si>
    <t>95-3</t>
    <phoneticPr fontId="2" type="noConversion"/>
  </si>
  <si>
    <t>383-2</t>
    <phoneticPr fontId="2" type="noConversion"/>
  </si>
  <si>
    <t>235-2</t>
    <phoneticPr fontId="2" type="noConversion"/>
  </si>
  <si>
    <t>247-2</t>
    <phoneticPr fontId="2" type="noConversion"/>
  </si>
  <si>
    <t>201-1</t>
    <phoneticPr fontId="2" type="noConversion"/>
  </si>
  <si>
    <t>253-2</t>
    <phoneticPr fontId="2" type="noConversion"/>
  </si>
  <si>
    <t>478-2</t>
    <phoneticPr fontId="2" type="noConversion"/>
  </si>
  <si>
    <t>411-3</t>
    <phoneticPr fontId="2" type="noConversion"/>
  </si>
  <si>
    <t>묘지</t>
    <phoneticPr fontId="2" type="noConversion"/>
  </si>
  <si>
    <t>199-1</t>
    <phoneticPr fontId="2" type="noConversion"/>
  </si>
  <si>
    <t>215-1</t>
    <phoneticPr fontId="2" type="noConversion"/>
  </si>
  <si>
    <t>187-1</t>
    <phoneticPr fontId="2" type="noConversion"/>
  </si>
  <si>
    <t>495-1</t>
    <phoneticPr fontId="2" type="noConversion"/>
  </si>
  <si>
    <t>218-1</t>
    <phoneticPr fontId="2" type="noConversion"/>
  </si>
  <si>
    <t>227-5</t>
    <phoneticPr fontId="2" type="noConversion"/>
  </si>
  <si>
    <t>227-6</t>
    <phoneticPr fontId="2" type="noConversion"/>
  </si>
  <si>
    <t>378-2</t>
    <phoneticPr fontId="2" type="noConversion"/>
  </si>
  <si>
    <t>199-2</t>
    <phoneticPr fontId="2" type="noConversion"/>
  </si>
  <si>
    <t>317-2</t>
    <phoneticPr fontId="2" type="noConversion"/>
  </si>
  <si>
    <t>임야</t>
    <phoneticPr fontId="2" type="noConversion"/>
  </si>
  <si>
    <t>724-4</t>
    <phoneticPr fontId="2" type="noConversion"/>
  </si>
  <si>
    <t>84-1</t>
    <phoneticPr fontId="2" type="noConversion"/>
  </si>
  <si>
    <t>384-2</t>
    <phoneticPr fontId="2" type="noConversion"/>
  </si>
  <si>
    <t>190-2</t>
    <phoneticPr fontId="2" type="noConversion"/>
  </si>
  <si>
    <t>247-3</t>
    <phoneticPr fontId="2" type="noConversion"/>
  </si>
  <si>
    <t>724-5</t>
    <phoneticPr fontId="2" type="noConversion"/>
  </si>
  <si>
    <t>대</t>
    <phoneticPr fontId="2" type="noConversion"/>
  </si>
  <si>
    <t>380-1</t>
    <phoneticPr fontId="2" type="noConversion"/>
  </si>
  <si>
    <t>384-4</t>
    <phoneticPr fontId="2" type="noConversion"/>
  </si>
  <si>
    <r>
      <t xml:space="preserve">135필
</t>
    </r>
    <r>
      <rPr>
        <b/>
        <sz val="10"/>
        <color indexed="8"/>
        <rFont val="굴림체"/>
        <family val="3"/>
        <charset val="129"/>
      </rPr>
      <t>증74,감61</t>
    </r>
    <phoneticPr fontId="2" type="noConversion"/>
  </si>
  <si>
    <t>번 호</t>
    <phoneticPr fontId="2" type="noConversion"/>
  </si>
  <si>
    <t>지 번</t>
    <phoneticPr fontId="2" type="noConversion"/>
  </si>
  <si>
    <t>지 목</t>
    <phoneticPr fontId="2" type="noConversion"/>
  </si>
  <si>
    <t>면 적
(㎡)</t>
    <phoneticPr fontId="2" type="noConversion"/>
  </si>
  <si>
    <t>지 분</t>
    <phoneticPr fontId="2" type="noConversion"/>
  </si>
  <si>
    <t>㎡당
가 격</t>
    <phoneticPr fontId="2" type="noConversion"/>
  </si>
  <si>
    <t>면 적(㎡)</t>
    <phoneticPr fontId="2" type="noConversion"/>
  </si>
  <si>
    <t>소 유 자</t>
    <phoneticPr fontId="2" type="noConversion"/>
  </si>
  <si>
    <t>지급 . 징수</t>
    <phoneticPr fontId="2" type="noConversion"/>
  </si>
  <si>
    <t xml:space="preserve">일 자 </t>
    <phoneticPr fontId="2" type="noConversion"/>
  </si>
  <si>
    <t>확 인</t>
    <phoneticPr fontId="2" type="noConversion"/>
  </si>
  <si>
    <t>비 고</t>
    <phoneticPr fontId="2" type="noConversion"/>
  </si>
  <si>
    <t xml:space="preserve">성 명 </t>
    <phoneticPr fontId="2" type="noConversion"/>
  </si>
  <si>
    <t xml:space="preserve">주  소 </t>
    <phoneticPr fontId="2" type="noConversion"/>
  </si>
  <si>
    <t>조  정    내  역</t>
    <phoneticPr fontId="2" type="noConversion"/>
  </si>
  <si>
    <t>합 계</t>
    <phoneticPr fontId="2" type="noConversion"/>
  </si>
  <si>
    <t>합 계</t>
    <phoneticPr fontId="2" type="noConversion"/>
  </si>
  <si>
    <t>계</t>
  </si>
  <si>
    <t>금 액(원)</t>
    <phoneticPr fontId="2" type="noConversion"/>
  </si>
  <si>
    <t/>
  </si>
  <si>
    <t>곽희정</t>
    <phoneticPr fontId="2" type="noConversion"/>
  </si>
  <si>
    <t>김규현</t>
    <phoneticPr fontId="2" type="noConversion"/>
  </si>
  <si>
    <t>김기복</t>
    <phoneticPr fontId="2" type="noConversion"/>
  </si>
  <si>
    <t>박오용</t>
    <phoneticPr fontId="2" type="noConversion"/>
  </si>
  <si>
    <t>김종철</t>
    <phoneticPr fontId="2" type="noConversion"/>
  </si>
  <si>
    <t>곽희철</t>
    <phoneticPr fontId="2" type="noConversion"/>
  </si>
  <si>
    <t>김무남</t>
    <phoneticPr fontId="2" type="noConversion"/>
  </si>
  <si>
    <t>김창환</t>
    <phoneticPr fontId="2" type="noConversion"/>
  </si>
  <si>
    <t>김길완</t>
    <phoneticPr fontId="2" type="noConversion"/>
  </si>
  <si>
    <t>김동희</t>
    <phoneticPr fontId="2" type="noConversion"/>
  </si>
  <si>
    <t>김명구</t>
    <phoneticPr fontId="2" type="noConversion"/>
  </si>
  <si>
    <t>김순복</t>
    <phoneticPr fontId="2" type="noConversion"/>
  </si>
  <si>
    <t>김영애</t>
    <phoneticPr fontId="2" type="noConversion"/>
  </si>
  <si>
    <t>김영환</t>
    <phoneticPr fontId="2" type="noConversion"/>
  </si>
  <si>
    <t>김은환</t>
    <phoneticPr fontId="2" type="noConversion"/>
  </si>
  <si>
    <t>김정흠</t>
    <phoneticPr fontId="2" type="noConversion"/>
  </si>
  <si>
    <t>김진래</t>
    <phoneticPr fontId="2" type="noConversion"/>
  </si>
  <si>
    <t>김진오</t>
    <phoneticPr fontId="2" type="noConversion"/>
  </si>
  <si>
    <t>김창우</t>
    <phoneticPr fontId="2" type="noConversion"/>
  </si>
  <si>
    <t>김창환</t>
    <phoneticPr fontId="2" type="noConversion"/>
  </si>
  <si>
    <t>덕수이씨참판공정철파종중</t>
    <phoneticPr fontId="2" type="noConversion"/>
  </si>
  <si>
    <t>박태용</t>
    <phoneticPr fontId="2" type="noConversion"/>
  </si>
  <si>
    <t>배순필</t>
    <phoneticPr fontId="2" type="noConversion"/>
  </si>
  <si>
    <t>배영신</t>
    <phoneticPr fontId="2" type="noConversion"/>
  </si>
  <si>
    <t>오봉옥</t>
    <phoneticPr fontId="2" type="noConversion"/>
  </si>
  <si>
    <t>이병오</t>
    <phoneticPr fontId="2" type="noConversion"/>
  </si>
  <si>
    <t>이병태</t>
    <phoneticPr fontId="2" type="noConversion"/>
  </si>
  <si>
    <t>이성규</t>
    <phoneticPr fontId="2" type="noConversion"/>
  </si>
  <si>
    <t>이우영</t>
    <phoneticPr fontId="2" type="noConversion"/>
  </si>
  <si>
    <t>이진승</t>
    <phoneticPr fontId="2" type="noConversion"/>
  </si>
  <si>
    <t>이진광</t>
    <phoneticPr fontId="2" type="noConversion"/>
  </si>
  <si>
    <t>이진량</t>
    <phoneticPr fontId="2" type="noConversion"/>
  </si>
  <si>
    <t>이진철</t>
    <phoneticPr fontId="2" type="noConversion"/>
  </si>
  <si>
    <t>이방연</t>
    <phoneticPr fontId="2" type="noConversion"/>
  </si>
  <si>
    <t>이만호</t>
    <phoneticPr fontId="2" type="noConversion"/>
  </si>
  <si>
    <t>이진승</t>
    <phoneticPr fontId="2" type="noConversion"/>
  </si>
  <si>
    <t>장복순</t>
    <phoneticPr fontId="2" type="noConversion"/>
  </si>
  <si>
    <t>함창김씨한제공파종중</t>
  </si>
  <si>
    <t>강찬희</t>
    <phoneticPr fontId="2" type="noConversion"/>
  </si>
  <si>
    <t>고승달</t>
    <phoneticPr fontId="2" type="noConversion"/>
  </si>
  <si>
    <t>곽병하</t>
    <phoneticPr fontId="2" type="noConversion"/>
  </si>
  <si>
    <t>김계환</t>
    <phoneticPr fontId="2" type="noConversion"/>
  </si>
  <si>
    <t>김기봉</t>
    <phoneticPr fontId="2" type="noConversion"/>
  </si>
  <si>
    <t>김기원</t>
    <phoneticPr fontId="2" type="noConversion"/>
  </si>
  <si>
    <t>김길석</t>
    <phoneticPr fontId="2" type="noConversion"/>
  </si>
  <si>
    <t>김대진</t>
    <phoneticPr fontId="2" type="noConversion"/>
  </si>
  <si>
    <t>김주용</t>
    <phoneticPr fontId="2" type="noConversion"/>
  </si>
  <si>
    <t>김기홍</t>
    <phoneticPr fontId="2" type="noConversion"/>
  </si>
  <si>
    <t>김중진</t>
    <phoneticPr fontId="2" type="noConversion"/>
  </si>
  <si>
    <t>김덕수</t>
    <phoneticPr fontId="2" type="noConversion"/>
  </si>
  <si>
    <t>김경수</t>
    <phoneticPr fontId="2" type="noConversion"/>
  </si>
  <si>
    <t>김동수</t>
    <phoneticPr fontId="2" type="noConversion"/>
  </si>
  <si>
    <t>김동연</t>
    <phoneticPr fontId="2" type="noConversion"/>
  </si>
  <si>
    <t>김동욱</t>
    <phoneticPr fontId="2" type="noConversion"/>
  </si>
  <si>
    <t>김동은</t>
    <phoneticPr fontId="2" type="noConversion"/>
  </si>
  <si>
    <t>김동흠</t>
    <phoneticPr fontId="2" type="noConversion"/>
  </si>
  <si>
    <t>김명순</t>
    <phoneticPr fontId="2" type="noConversion"/>
  </si>
  <si>
    <t>김미애</t>
    <phoneticPr fontId="2" type="noConversion"/>
  </si>
  <si>
    <t>김세환</t>
    <phoneticPr fontId="2" type="noConversion"/>
  </si>
  <si>
    <t>김영추</t>
    <phoneticPr fontId="2" type="noConversion"/>
  </si>
  <si>
    <t>김영태</t>
    <phoneticPr fontId="2" type="noConversion"/>
  </si>
  <si>
    <t>김윤흠</t>
    <phoneticPr fontId="2" type="noConversion"/>
  </si>
  <si>
    <t>김철흠</t>
    <phoneticPr fontId="2" type="noConversion"/>
  </si>
  <si>
    <t>김정흠</t>
    <phoneticPr fontId="2" type="noConversion"/>
  </si>
  <si>
    <t>김인숙</t>
    <phoneticPr fontId="2" type="noConversion"/>
  </si>
  <si>
    <t>김재용</t>
    <phoneticPr fontId="2" type="noConversion"/>
  </si>
  <si>
    <t>김정애</t>
    <phoneticPr fontId="2" type="noConversion"/>
  </si>
  <si>
    <t>김주봉</t>
    <phoneticPr fontId="2" type="noConversion"/>
  </si>
  <si>
    <t>김준희</t>
    <phoneticPr fontId="2" type="noConversion"/>
  </si>
  <si>
    <t>김진옥</t>
    <phoneticPr fontId="2" type="noConversion"/>
  </si>
  <si>
    <t>김한솔</t>
    <phoneticPr fontId="2" type="noConversion"/>
  </si>
  <si>
    <t>김향기</t>
    <phoneticPr fontId="2" type="noConversion"/>
  </si>
  <si>
    <t>박민호</t>
    <phoneticPr fontId="2" type="noConversion"/>
  </si>
  <si>
    <t>박상용</t>
    <phoneticPr fontId="2" type="noConversion"/>
  </si>
  <si>
    <t>박세연</t>
    <phoneticPr fontId="2" type="noConversion"/>
  </si>
  <si>
    <t>박준하</t>
    <phoneticPr fontId="2" type="noConversion"/>
  </si>
  <si>
    <t>박지용</t>
    <phoneticPr fontId="2" type="noConversion"/>
  </si>
  <si>
    <t>박춘태</t>
    <phoneticPr fontId="2" type="noConversion"/>
  </si>
  <si>
    <t>박흥순</t>
    <phoneticPr fontId="2" type="noConversion"/>
  </si>
  <si>
    <t>백흥순</t>
    <phoneticPr fontId="2" type="noConversion"/>
  </si>
  <si>
    <t>송길용</t>
    <phoneticPr fontId="2" type="noConversion"/>
  </si>
  <si>
    <t>송영재</t>
    <phoneticPr fontId="2" type="noConversion"/>
  </si>
  <si>
    <t>안희순</t>
    <phoneticPr fontId="2" type="noConversion"/>
  </si>
  <si>
    <t>송인창</t>
    <phoneticPr fontId="2" type="noConversion"/>
  </si>
  <si>
    <t>양복순</t>
    <phoneticPr fontId="2" type="noConversion"/>
  </si>
  <si>
    <t>육종철</t>
    <phoneticPr fontId="2" type="noConversion"/>
  </si>
  <si>
    <t>이대갑</t>
    <phoneticPr fontId="2" type="noConversion"/>
  </si>
  <si>
    <t>이명화</t>
    <phoneticPr fontId="2" type="noConversion"/>
  </si>
  <si>
    <t>이현지</t>
    <phoneticPr fontId="2" type="noConversion"/>
  </si>
  <si>
    <t>장정옥</t>
    <phoneticPr fontId="2" type="noConversion"/>
  </si>
  <si>
    <t>김기상</t>
    <phoneticPr fontId="2" type="noConversion"/>
  </si>
  <si>
    <t>전경옥</t>
    <phoneticPr fontId="2" type="noConversion"/>
  </si>
  <si>
    <t>정금식</t>
    <phoneticPr fontId="2" type="noConversion"/>
  </si>
  <si>
    <t>조남배</t>
    <phoneticPr fontId="2" type="noConversion"/>
  </si>
  <si>
    <t>조현우</t>
    <phoneticPr fontId="2" type="noConversion"/>
  </si>
  <si>
    <t>진창원</t>
    <phoneticPr fontId="2" type="noConversion"/>
  </si>
  <si>
    <t>최이화</t>
    <phoneticPr fontId="2" type="noConversion"/>
  </si>
  <si>
    <t>허길순</t>
    <phoneticPr fontId="2" type="noConversion"/>
  </si>
  <si>
    <t>호탄리곡촌마을회</t>
    <phoneticPr fontId="2" type="noConversion"/>
  </si>
  <si>
    <t>충청북도 영동군 양산면 호탄길 44-8</t>
  </si>
  <si>
    <t>충청북도 영동군 학산면 박계길 21-2</t>
  </si>
  <si>
    <t>충청북도 영동군 양산면 호탄리 354-3</t>
  </si>
  <si>
    <t>인천광역시 남동구 매소홀로 13(만수동, 담방마을아파트) 16-91</t>
  </si>
  <si>
    <t>충청남도 논산시 연무읍 왕릉로16번길 31</t>
  </si>
  <si>
    <t>영동군 양산면 호탄리 347</t>
    <phoneticPr fontId="20" type="noConversion"/>
  </si>
  <si>
    <t>영동군양산면 가곡리 344-4</t>
    <phoneticPr fontId="20" type="noConversion"/>
  </si>
  <si>
    <t>영동군 양산면 가곡리 344-4</t>
    <phoneticPr fontId="20" type="noConversion"/>
  </si>
  <si>
    <t>76</t>
  </si>
  <si>
    <t>78</t>
  </si>
  <si>
    <t>82</t>
  </si>
  <si>
    <t>84</t>
  </si>
  <si>
    <t>85</t>
  </si>
  <si>
    <t>86</t>
  </si>
  <si>
    <t>88</t>
  </si>
  <si>
    <t>91</t>
  </si>
  <si>
    <t>92</t>
  </si>
  <si>
    <t>93</t>
  </si>
  <si>
    <t>95</t>
  </si>
  <si>
    <t>94</t>
  </si>
  <si>
    <t>124</t>
  </si>
  <si>
    <t>127</t>
  </si>
  <si>
    <t>134</t>
  </si>
  <si>
    <t>154</t>
  </si>
  <si>
    <t>156</t>
  </si>
  <si>
    <t>157</t>
  </si>
  <si>
    <t>158</t>
  </si>
  <si>
    <t>159</t>
  </si>
  <si>
    <t>160</t>
  </si>
  <si>
    <t>161</t>
  </si>
  <si>
    <t>164</t>
  </si>
  <si>
    <t>168</t>
  </si>
  <si>
    <t>169</t>
  </si>
  <si>
    <t>170</t>
  </si>
  <si>
    <t>178</t>
  </si>
  <si>
    <t>179</t>
  </si>
  <si>
    <t>182</t>
  </si>
  <si>
    <t>183</t>
  </si>
  <si>
    <t>185</t>
  </si>
  <si>
    <t>187</t>
  </si>
  <si>
    <t>189</t>
  </si>
  <si>
    <t>190</t>
  </si>
  <si>
    <t>192</t>
  </si>
  <si>
    <t>194</t>
  </si>
  <si>
    <t>195</t>
  </si>
  <si>
    <t>198</t>
  </si>
  <si>
    <t>199</t>
  </si>
  <si>
    <t>200</t>
  </si>
  <si>
    <t>201</t>
  </si>
  <si>
    <t>202</t>
  </si>
  <si>
    <t>205</t>
  </si>
  <si>
    <t>206</t>
  </si>
  <si>
    <t>209</t>
  </si>
  <si>
    <t>210</t>
  </si>
  <si>
    <t>211</t>
  </si>
  <si>
    <t>212</t>
  </si>
  <si>
    <t>215</t>
  </si>
  <si>
    <t>216</t>
  </si>
  <si>
    <t>217</t>
  </si>
  <si>
    <t>218</t>
  </si>
  <si>
    <t>220</t>
  </si>
  <si>
    <t>221</t>
  </si>
  <si>
    <t>223</t>
  </si>
  <si>
    <t>225</t>
  </si>
  <si>
    <t>226</t>
  </si>
  <si>
    <t>227</t>
  </si>
  <si>
    <t>228</t>
  </si>
  <si>
    <t>229</t>
  </si>
  <si>
    <t>232</t>
  </si>
  <si>
    <t>235</t>
  </si>
  <si>
    <t>236</t>
  </si>
  <si>
    <t>239</t>
  </si>
  <si>
    <t>240</t>
  </si>
  <si>
    <t>245</t>
  </si>
  <si>
    <t>247</t>
  </si>
  <si>
    <t>249</t>
  </si>
  <si>
    <t>250</t>
  </si>
  <si>
    <t>251</t>
  </si>
  <si>
    <t>252</t>
  </si>
  <si>
    <t>253</t>
  </si>
  <si>
    <t>296</t>
  </si>
  <si>
    <t>297</t>
  </si>
  <si>
    <t>299</t>
  </si>
  <si>
    <t>301</t>
  </si>
  <si>
    <t>308</t>
  </si>
  <si>
    <t>309</t>
  </si>
  <si>
    <t>312</t>
  </si>
  <si>
    <t>315</t>
  </si>
  <si>
    <t>317</t>
  </si>
  <si>
    <t>324</t>
  </si>
  <si>
    <t>326</t>
  </si>
  <si>
    <t>354</t>
  </si>
  <si>
    <t>375</t>
  </si>
  <si>
    <t>378</t>
  </si>
  <si>
    <t>380</t>
  </si>
  <si>
    <t>383</t>
  </si>
  <si>
    <t>384</t>
  </si>
  <si>
    <t>387</t>
  </si>
  <si>
    <t>390</t>
  </si>
  <si>
    <t>405</t>
  </si>
  <si>
    <t>411</t>
  </si>
  <si>
    <t>416</t>
  </si>
  <si>
    <t>418</t>
  </si>
  <si>
    <t>419</t>
  </si>
  <si>
    <t>454</t>
  </si>
  <si>
    <t>455</t>
  </si>
  <si>
    <t>461</t>
  </si>
  <si>
    <t>472</t>
  </si>
  <si>
    <t>473</t>
  </si>
  <si>
    <t>474</t>
  </si>
  <si>
    <t>475</t>
  </si>
  <si>
    <t>478</t>
  </si>
  <si>
    <t>482</t>
  </si>
  <si>
    <t>490</t>
  </si>
  <si>
    <t>493</t>
  </si>
  <si>
    <t>495</t>
  </si>
  <si>
    <t>497</t>
  </si>
  <si>
    <t>724</t>
  </si>
  <si>
    <t>토 지 소 재 지 : 영동군 양산면 호탄리</t>
    <phoneticPr fontId="2" type="noConversion"/>
  </si>
  <si>
    <t>지    구    명 : 영동군 호탄지구</t>
    <phoneticPr fontId="2" type="noConversion"/>
  </si>
  <si>
    <t>면적(㎡)</t>
    <phoneticPr fontId="2" type="noConversion"/>
  </si>
  <si>
    <t>지
분</t>
    <phoneticPr fontId="2" type="noConversion"/>
  </si>
  <si>
    <t>㎡ 당
가 격
(원)</t>
    <phoneticPr fontId="2" type="noConversion"/>
  </si>
  <si>
    <t>비
고</t>
    <phoneticPr fontId="2" type="noConversion"/>
  </si>
  <si>
    <t>지번</t>
    <phoneticPr fontId="2" type="noConversion"/>
  </si>
  <si>
    <t>지목</t>
    <phoneticPr fontId="2" type="noConversion"/>
  </si>
  <si>
    <t>증 (납부금액)</t>
    <phoneticPr fontId="2" type="noConversion"/>
  </si>
  <si>
    <t>감 (수령금액)</t>
    <phoneticPr fontId="2" type="noConversion"/>
  </si>
  <si>
    <t>확 정 금 액</t>
    <phoneticPr fontId="20" type="noConversion"/>
  </si>
  <si>
    <t>반송
사유</t>
    <phoneticPr fontId="2" type="noConversion"/>
  </si>
  <si>
    <t>조정금 공시송달 조서</t>
    <phoneticPr fontId="2" type="noConversion"/>
  </si>
  <si>
    <t>폐문부재</t>
    <phoneticPr fontId="20" type="noConversion"/>
  </si>
  <si>
    <t>번
호</t>
    <phoneticPr fontId="2" type="noConversion"/>
  </si>
  <si>
    <t>수취인불명</t>
    <phoneticPr fontId="20" type="noConversion"/>
  </si>
  <si>
    <t>이사감</t>
    <phoneticPr fontId="20" type="noConversion"/>
  </si>
  <si>
    <t>김*연</t>
  </si>
  <si>
    <t>김*은</t>
  </si>
  <si>
    <t>김*용</t>
  </si>
  <si>
    <t>김*래</t>
  </si>
  <si>
    <t>박*하</t>
  </si>
  <si>
    <t>박*용</t>
  </si>
  <si>
    <t>백*순</t>
  </si>
  <si>
    <t>이*호</t>
  </si>
  <si>
    <t>이*철</t>
  </si>
  <si>
    <t>478-2</t>
    <phoneticPr fontId="2" type="noConversion"/>
  </si>
  <si>
    <t>378-2</t>
    <phoneticPr fontId="2" type="noConversion"/>
  </si>
  <si>
    <t>317-2</t>
    <phoneticPr fontId="2" type="noConversion"/>
  </si>
  <si>
    <t>경기도 부천시 원미구 역곡동  현대아파트A 나동 404호</t>
  </si>
  <si>
    <t>서울특별시 관악구 은천로 39 86. 101호(봉천동, 신찬빌라)</t>
    <phoneticPr fontId="20" type="noConversion"/>
  </si>
  <si>
    <t>수취인불명</t>
    <phoneticPr fontId="20" type="noConversion"/>
  </si>
</sst>
</file>

<file path=xl/styles.xml><?xml version="1.0" encoding="utf-8"?>
<styleSheet xmlns="http://schemas.openxmlformats.org/spreadsheetml/2006/main">
  <numFmts count="10">
    <numFmt numFmtId="42" formatCode="_-&quot;₩&quot;* #,##0_-;\-&quot;₩&quot;* #,##0_-;_-&quot;₩&quot;* &quot;-&quot;_-;_-@_-"/>
    <numFmt numFmtId="41" formatCode="_-* #,##0_-;\-* #,##0_-;_-* &quot;-&quot;_-;_-@_-"/>
    <numFmt numFmtId="176" formatCode="#,##0_);[Red]\(#,##0\)"/>
    <numFmt numFmtId="177" formatCode="#,##0.0_);[Red]\(#,##0.0\)"/>
    <numFmt numFmtId="178" formatCode="#,##0.0_ ;[Red]\-#,##0.0\ "/>
    <numFmt numFmtId="179" formatCode="#,##0_ "/>
    <numFmt numFmtId="180" formatCode="#,##0_ ;[Red]\-#,##0\ "/>
    <numFmt numFmtId="181" formatCode="0.0_);[Red]\(0.0\)"/>
    <numFmt numFmtId="182" formatCode="0.0_ ;[Red]\-0.0\ "/>
    <numFmt numFmtId="183" formatCode="_-* #,##0.0_-;\-* #,##0.0_-;_-* &quot;-&quot;_-;_-@_-"/>
  </numFmts>
  <fonts count="59">
    <font>
      <sz val="11"/>
      <color theme="1"/>
      <name val="맑은 고딕"/>
      <family val="3"/>
      <charset val="129"/>
      <scheme val="minor"/>
    </font>
    <font>
      <sz val="11"/>
      <color theme="1"/>
      <name val="맑은 고딕"/>
      <family val="2"/>
      <charset val="129"/>
      <scheme val="minor"/>
    </font>
    <font>
      <sz val="8"/>
      <name val="맑은 고딕"/>
      <family val="3"/>
      <charset val="129"/>
    </font>
    <font>
      <sz val="10"/>
      <name val="돋움체"/>
      <family val="3"/>
      <charset val="129"/>
    </font>
    <font>
      <sz val="11"/>
      <color indexed="8"/>
      <name val="굴림체"/>
      <family val="3"/>
      <charset val="129"/>
    </font>
    <font>
      <b/>
      <sz val="18"/>
      <color indexed="8"/>
      <name val="굴림체"/>
      <family val="3"/>
      <charset val="129"/>
    </font>
    <font>
      <b/>
      <sz val="11"/>
      <color indexed="8"/>
      <name val="굴림체"/>
      <family val="3"/>
      <charset val="129"/>
    </font>
    <font>
      <b/>
      <sz val="13"/>
      <color indexed="8"/>
      <name val="굴림체"/>
      <family val="3"/>
      <charset val="129"/>
    </font>
    <font>
      <b/>
      <sz val="10"/>
      <color indexed="8"/>
      <name val="굴림체"/>
      <family val="3"/>
      <charset val="129"/>
    </font>
    <font>
      <b/>
      <sz val="12"/>
      <color indexed="8"/>
      <name val="굴림체"/>
      <family val="3"/>
      <charset val="129"/>
    </font>
    <font>
      <sz val="10"/>
      <color indexed="8"/>
      <name val="굴림체"/>
      <family val="3"/>
      <charset val="129"/>
    </font>
    <font>
      <sz val="10"/>
      <name val="굴림체"/>
      <family val="3"/>
      <charset val="129"/>
    </font>
    <font>
      <sz val="9"/>
      <color indexed="8"/>
      <name val="굴림체"/>
      <family val="3"/>
      <charset val="129"/>
    </font>
    <font>
      <b/>
      <sz val="10"/>
      <name val="굴림체"/>
      <family val="3"/>
      <charset val="129"/>
    </font>
    <font>
      <b/>
      <sz val="12"/>
      <name val="굴림체"/>
      <family val="3"/>
      <charset val="129"/>
    </font>
    <font>
      <sz val="8"/>
      <name val="굴림체"/>
      <family val="3"/>
      <charset val="129"/>
    </font>
    <font>
      <sz val="6"/>
      <color indexed="8"/>
      <name val="굴림체"/>
      <family val="3"/>
      <charset val="129"/>
    </font>
    <font>
      <b/>
      <sz val="12"/>
      <color indexed="10"/>
      <name val="굴림체"/>
      <family val="3"/>
      <charset val="129"/>
    </font>
    <font>
      <sz val="11"/>
      <color indexed="8"/>
      <name val="맑은 고딕"/>
      <family val="3"/>
      <charset val="129"/>
    </font>
    <font>
      <sz val="11"/>
      <color theme="1"/>
      <name val="맑은 고딕"/>
      <family val="3"/>
      <charset val="129"/>
      <scheme val="minor"/>
    </font>
    <font>
      <sz val="8"/>
      <name val="맑은 고딕"/>
      <family val="3"/>
      <charset val="129"/>
      <scheme val="minor"/>
    </font>
    <font>
      <sz val="36"/>
      <color theme="1"/>
      <name val="HY헤드라인M"/>
      <family val="1"/>
      <charset val="129"/>
    </font>
    <font>
      <b/>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72"/>
      <color indexed="8"/>
      <name val="HY헤드라인M"/>
      <family val="1"/>
      <charset val="129"/>
    </font>
    <font>
      <b/>
      <sz val="36"/>
      <color indexed="8"/>
      <name val="굴림체"/>
      <family val="3"/>
      <charset val="129"/>
    </font>
    <font>
      <sz val="36"/>
      <color theme="1"/>
      <name val="맑은 고딕"/>
      <family val="3"/>
      <charset val="129"/>
      <scheme val="minor"/>
    </font>
    <font>
      <sz val="26"/>
      <color theme="1"/>
      <name val="맑은 고딕"/>
      <family val="3"/>
      <charset val="129"/>
      <scheme val="minor"/>
    </font>
    <font>
      <b/>
      <sz val="26"/>
      <color indexed="8"/>
      <name val="맑은 고딕"/>
      <family val="3"/>
      <charset val="129"/>
      <scheme val="major"/>
    </font>
    <font>
      <sz val="28"/>
      <color indexed="8"/>
      <name val="맑은 고딕"/>
      <family val="3"/>
      <charset val="129"/>
      <scheme val="minor"/>
    </font>
    <font>
      <b/>
      <sz val="26"/>
      <name val="맑은 고딕"/>
      <family val="3"/>
      <charset val="129"/>
      <scheme val="minor"/>
    </font>
    <font>
      <b/>
      <sz val="26"/>
      <color indexed="8"/>
      <name val="맑은 고딕"/>
      <family val="3"/>
      <charset val="129"/>
      <scheme val="minor"/>
    </font>
    <font>
      <sz val="26"/>
      <color indexed="8"/>
      <name val="맑은 고딕"/>
      <family val="3"/>
      <charset val="129"/>
      <scheme val="minor"/>
    </font>
    <font>
      <sz val="26"/>
      <name val="맑은 고딕"/>
      <family val="3"/>
      <charset val="129"/>
      <scheme val="minor"/>
    </font>
    <font>
      <b/>
      <sz val="26"/>
      <color theme="1"/>
      <name val="맑은 고딕"/>
      <family val="3"/>
      <charset val="129"/>
      <scheme val="minor"/>
    </font>
    <font>
      <sz val="20"/>
      <color indexed="8"/>
      <name val="굴림체"/>
      <family val="3"/>
      <charset val="129"/>
    </font>
    <font>
      <sz val="28"/>
      <color indexed="8"/>
      <name val="굴림체"/>
      <family val="3"/>
      <charset val="129"/>
    </font>
    <font>
      <sz val="20"/>
      <name val="굴림체"/>
      <family val="3"/>
      <charset val="129"/>
    </font>
    <font>
      <sz val="26"/>
      <name val="굴림체"/>
      <family val="3"/>
      <charset val="129"/>
    </font>
    <font>
      <sz val="26"/>
      <color indexed="8"/>
      <name val="굴림체"/>
      <family val="3"/>
      <charset val="129"/>
    </font>
    <font>
      <sz val="28"/>
      <color rgb="FF3333FF"/>
      <name val="맑은 고딕"/>
      <family val="3"/>
      <charset val="129"/>
      <scheme val="minor"/>
    </font>
    <font>
      <sz val="28"/>
      <color rgb="FFFF0000"/>
      <name val="맑은 고딕"/>
      <family val="3"/>
      <charset val="129"/>
      <scheme val="minor"/>
    </font>
    <font>
      <sz val="28"/>
      <color rgb="FF0000CC"/>
      <name val="맑은 고딕"/>
      <family val="3"/>
      <charset val="129"/>
      <scheme val="minor"/>
    </font>
    <font>
      <sz val="28"/>
      <color rgb="FF3333FF"/>
      <name val="굴림체"/>
      <family val="3"/>
      <charset val="129"/>
    </font>
    <font>
      <sz val="28"/>
      <color rgb="FFFF0000"/>
      <name val="굴림체"/>
      <family val="3"/>
      <charset val="129"/>
    </font>
  </fonts>
  <fills count="3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1">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diagonal/>
    </border>
    <border>
      <left style="thin">
        <color auto="1"/>
      </left>
      <right style="medium">
        <color indexed="64"/>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
      <left style="thin">
        <color auto="1"/>
      </left>
      <right style="medium">
        <color indexed="64"/>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s>
  <cellStyleXfs count="253">
    <xf numFmtId="0" fontId="0" fillId="0" borderId="0">
      <alignment vertical="center"/>
    </xf>
    <xf numFmtId="42" fontId="18" fillId="0" borderId="0" applyFont="0" applyFill="0" applyBorder="0" applyAlignment="0" applyProtection="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3" fillId="0" borderId="0"/>
    <xf numFmtId="0" fontId="19" fillId="0" borderId="0">
      <alignment vertical="center"/>
    </xf>
    <xf numFmtId="0" fontId="22" fillId="0" borderId="0" applyNumberFormat="0" applyFill="0" applyBorder="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0" applyNumberFormat="0" applyFill="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36" applyNumberFormat="0" applyAlignment="0" applyProtection="0">
      <alignment vertical="center"/>
    </xf>
    <xf numFmtId="0" fontId="30" fillId="12" borderId="37" applyNumberFormat="0" applyAlignment="0" applyProtection="0">
      <alignment vertical="center"/>
    </xf>
    <xf numFmtId="0" fontId="31" fillId="12" borderId="36" applyNumberFormat="0" applyAlignment="0" applyProtection="0">
      <alignment vertical="center"/>
    </xf>
    <xf numFmtId="0" fontId="32" fillId="0" borderId="38" applyNumberFormat="0" applyFill="0" applyAlignment="0" applyProtection="0">
      <alignment vertical="center"/>
    </xf>
    <xf numFmtId="0" fontId="33" fillId="13" borderId="39"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41" applyNumberFormat="0" applyFill="0" applyAlignment="0" applyProtection="0">
      <alignment vertical="center"/>
    </xf>
    <xf numFmtId="0" fontId="37"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37" fillId="38" borderId="0" applyNumberFormat="0" applyBorder="0" applyAlignment="0" applyProtection="0">
      <alignment vertical="center"/>
    </xf>
    <xf numFmtId="0" fontId="1" fillId="0" borderId="0">
      <alignment vertical="center"/>
    </xf>
    <xf numFmtId="0" fontId="1" fillId="14" borderId="40" applyNumberFormat="0" applyFont="0" applyAlignment="0" applyProtection="0">
      <alignment vertical="center"/>
    </xf>
    <xf numFmtId="41" fontId="19" fillId="0" borderId="0" applyFont="0" applyFill="0" applyBorder="0" applyAlignment="0" applyProtection="0">
      <alignment vertical="center"/>
    </xf>
  </cellStyleXfs>
  <cellXfs count="476">
    <xf numFmtId="0" fontId="0" fillId="0" borderId="0" xfId="0">
      <alignment vertical="center"/>
    </xf>
    <xf numFmtId="176" fontId="0" fillId="0" borderId="0" xfId="0" applyNumberFormat="1">
      <alignment vertical="center"/>
    </xf>
    <xf numFmtId="177" fontId="0" fillId="0" borderId="0" xfId="0" applyNumberFormat="1" applyAlignment="1">
      <alignment horizontal="center" vertical="center"/>
    </xf>
    <xf numFmtId="0" fontId="0" fillId="0" borderId="0" xfId="0" applyAlignment="1">
      <alignment horizontal="center" vertical="center"/>
    </xf>
    <xf numFmtId="0" fontId="0" fillId="0" borderId="0" xfId="0" applyFill="1">
      <alignment vertical="center"/>
    </xf>
    <xf numFmtId="0" fontId="4" fillId="0" borderId="0" xfId="0" applyFont="1" applyBorder="1">
      <alignment vertical="center"/>
    </xf>
    <xf numFmtId="176" fontId="4" fillId="0" borderId="0" xfId="0" applyNumberFormat="1" applyFont="1" applyBorder="1">
      <alignment vertical="center"/>
    </xf>
    <xf numFmtId="177"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lignment vertical="center"/>
    </xf>
    <xf numFmtId="0" fontId="6" fillId="2" borderId="1" xfId="0" applyFont="1" applyFill="1" applyBorder="1" applyAlignment="1">
      <alignment horizontal="center" vertical="center"/>
    </xf>
    <xf numFmtId="178" fontId="6" fillId="2" borderId="1"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xf>
    <xf numFmtId="178" fontId="9" fillId="3" borderId="3"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5" xfId="155" applyFont="1" applyFill="1" applyBorder="1" applyAlignment="1">
      <alignment horizontal="center" vertical="center"/>
    </xf>
    <xf numFmtId="0" fontId="11" fillId="0" borderId="5" xfId="111" applyFont="1" applyFill="1" applyBorder="1" applyAlignment="1">
      <alignment horizontal="center" vertical="center"/>
    </xf>
    <xf numFmtId="176" fontId="11" fillId="0" borderId="5" xfId="72" applyNumberFormat="1" applyFont="1" applyFill="1" applyBorder="1" applyAlignment="1">
      <alignment horizontal="center" vertical="center"/>
    </xf>
    <xf numFmtId="177" fontId="11" fillId="0" borderId="5" xfId="111" applyNumberFormat="1" applyFont="1" applyFill="1" applyBorder="1" applyAlignment="1">
      <alignment horizontal="center" vertical="center"/>
    </xf>
    <xf numFmtId="181" fontId="12" fillId="0" borderId="5" xfId="177" applyNumberFormat="1" applyFont="1" applyFill="1" applyBorder="1" applyAlignment="1">
      <alignment vertical="center"/>
    </xf>
    <xf numFmtId="176" fontId="10" fillId="0" borderId="6" xfId="0" applyNumberFormat="1" applyFont="1" applyFill="1" applyBorder="1" applyAlignment="1">
      <alignment horizontal="center" vertical="center"/>
    </xf>
    <xf numFmtId="182" fontId="9" fillId="3" borderId="7" xfId="0" applyNumberFormat="1" applyFont="1" applyFill="1" applyBorder="1" applyAlignment="1">
      <alignment horizontal="center" vertical="center" wrapText="1"/>
    </xf>
    <xf numFmtId="176" fontId="9" fillId="3" borderId="5" xfId="0" applyNumberFormat="1" applyFont="1" applyFill="1" applyBorder="1" applyAlignment="1">
      <alignment horizontal="center" vertical="center" wrapText="1"/>
    </xf>
    <xf numFmtId="182" fontId="9" fillId="4" borderId="5" xfId="0" applyNumberFormat="1" applyFont="1" applyFill="1" applyBorder="1" applyAlignment="1">
      <alignment horizontal="center" vertical="center"/>
    </xf>
    <xf numFmtId="0" fontId="11" fillId="0" borderId="8" xfId="166" applyFont="1" applyFill="1" applyBorder="1" applyAlignment="1">
      <alignment horizontal="center" vertical="center" shrinkToFit="1"/>
    </xf>
    <xf numFmtId="0" fontId="4" fillId="0" borderId="5" xfId="0" applyFont="1" applyFill="1" applyBorder="1">
      <alignment vertical="center"/>
    </xf>
    <xf numFmtId="0" fontId="11" fillId="0" borderId="5" xfId="158" applyFont="1" applyFill="1" applyBorder="1" applyAlignment="1">
      <alignment horizontal="center" vertical="center"/>
    </xf>
    <xf numFmtId="176" fontId="11" fillId="0" borderId="5" xfId="74" applyNumberFormat="1" applyFont="1" applyFill="1" applyBorder="1" applyAlignment="1">
      <alignment horizontal="center" vertical="center"/>
    </xf>
    <xf numFmtId="177" fontId="10" fillId="0" borderId="5"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176" fontId="11" fillId="0" borderId="6" xfId="195" applyNumberFormat="1" applyFont="1" applyFill="1" applyBorder="1" applyAlignment="1">
      <alignment horizontal="center" vertical="center"/>
    </xf>
    <xf numFmtId="0" fontId="11" fillId="0" borderId="8" xfId="169" applyFont="1" applyFill="1" applyBorder="1" applyAlignment="1">
      <alignment horizontal="center" vertical="center" shrinkToFit="1"/>
    </xf>
    <xf numFmtId="49" fontId="4" fillId="0" borderId="5" xfId="0" applyNumberFormat="1" applyFont="1" applyFill="1" applyBorder="1">
      <alignment vertical="center"/>
    </xf>
    <xf numFmtId="176" fontId="11" fillId="0" borderId="6" xfId="195" applyNumberFormat="1" applyFont="1" applyFill="1" applyBorder="1" applyAlignment="1">
      <alignment horizontal="center"/>
    </xf>
    <xf numFmtId="0" fontId="11" fillId="0" borderId="5" xfId="164" applyFont="1" applyFill="1" applyBorder="1" applyAlignment="1">
      <alignment horizontal="center" vertical="center"/>
    </xf>
    <xf numFmtId="176" fontId="11" fillId="0" borderId="5" xfId="81" applyNumberFormat="1" applyFont="1" applyFill="1" applyBorder="1" applyAlignment="1">
      <alignment horizontal="center" vertical="center"/>
    </xf>
    <xf numFmtId="181" fontId="4" fillId="0" borderId="5" xfId="0" applyNumberFormat="1" applyFont="1" applyFill="1" applyBorder="1">
      <alignment vertical="center"/>
    </xf>
    <xf numFmtId="0" fontId="11" fillId="0" borderId="8" xfId="175" applyFont="1" applyFill="1" applyBorder="1" applyAlignment="1">
      <alignment horizontal="center" vertical="center" shrinkToFit="1"/>
    </xf>
    <xf numFmtId="0" fontId="11" fillId="0" borderId="5" xfId="163" applyFont="1" applyFill="1" applyBorder="1" applyAlignment="1">
      <alignment horizontal="center" vertical="center"/>
    </xf>
    <xf numFmtId="176" fontId="11" fillId="0" borderId="5" xfId="80" applyNumberFormat="1" applyFont="1" applyFill="1" applyBorder="1" applyAlignment="1">
      <alignment horizontal="center" vertical="center"/>
    </xf>
    <xf numFmtId="0" fontId="11" fillId="0" borderId="8" xfId="174" applyFont="1" applyFill="1" applyBorder="1" applyAlignment="1">
      <alignment horizontal="center" vertical="center" shrinkToFit="1"/>
    </xf>
    <xf numFmtId="0" fontId="12" fillId="0" borderId="5" xfId="0" applyFont="1" applyFill="1" applyBorder="1">
      <alignment vertical="center"/>
    </xf>
    <xf numFmtId="0" fontId="11" fillId="0" borderId="5" xfId="154" applyFont="1" applyFill="1" applyBorder="1" applyAlignment="1">
      <alignment horizontal="center" vertical="center"/>
    </xf>
    <xf numFmtId="0" fontId="11" fillId="0" borderId="5" xfId="71" applyFont="1" applyFill="1" applyBorder="1" applyAlignment="1">
      <alignment horizontal="center" vertical="center"/>
    </xf>
    <xf numFmtId="0" fontId="11" fillId="0" borderId="8" xfId="165" applyFont="1" applyFill="1" applyBorder="1" applyAlignment="1">
      <alignment horizontal="center" vertical="center" shrinkToFit="1"/>
    </xf>
    <xf numFmtId="0" fontId="11" fillId="0" borderId="5" xfId="72" applyFont="1" applyFill="1" applyBorder="1" applyAlignment="1">
      <alignment horizontal="center" vertical="center"/>
    </xf>
    <xf numFmtId="181" fontId="11" fillId="0" borderId="5" xfId="111" applyNumberFormat="1" applyFont="1" applyFill="1" applyBorder="1" applyAlignment="1">
      <alignment horizontal="center" vertical="center"/>
    </xf>
    <xf numFmtId="0" fontId="11" fillId="0" borderId="5" xfId="162" quotePrefix="1" applyNumberFormat="1" applyFont="1" applyFill="1" applyBorder="1" applyAlignment="1">
      <alignment horizontal="center" vertical="center"/>
    </xf>
    <xf numFmtId="0" fontId="11" fillId="0" borderId="5" xfId="78" applyFont="1" applyFill="1" applyBorder="1" applyAlignment="1">
      <alignment horizontal="center" vertical="center"/>
    </xf>
    <xf numFmtId="0" fontId="10" fillId="0" borderId="5" xfId="0" applyFont="1" applyFill="1" applyBorder="1" applyAlignment="1">
      <alignment horizontal="center" vertical="center"/>
    </xf>
    <xf numFmtId="0" fontId="11" fillId="0" borderId="8" xfId="173" applyFont="1" applyFill="1" applyBorder="1" applyAlignment="1">
      <alignment horizontal="center" vertical="center" shrinkToFit="1"/>
    </xf>
    <xf numFmtId="0" fontId="11" fillId="0" borderId="5" xfId="162" applyNumberFormat="1" applyFont="1" applyFill="1" applyBorder="1" applyAlignment="1">
      <alignment horizontal="center" vertical="center"/>
    </xf>
    <xf numFmtId="0" fontId="11" fillId="0" borderId="5" xfId="80" applyFont="1" applyFill="1" applyBorder="1" applyAlignment="1">
      <alignment horizontal="center" vertical="center"/>
    </xf>
    <xf numFmtId="0" fontId="11" fillId="0" borderId="5" xfId="81" applyFont="1" applyFill="1" applyBorder="1" applyAlignment="1">
      <alignment horizontal="center" vertical="center"/>
    </xf>
    <xf numFmtId="181" fontId="4" fillId="0" borderId="5" xfId="0" applyNumberFormat="1" applyFont="1" applyFill="1" applyBorder="1" applyAlignment="1">
      <alignment horizontal="center" vertical="center"/>
    </xf>
    <xf numFmtId="176" fontId="10" fillId="0" borderId="6" xfId="123" applyNumberFormat="1" applyFont="1" applyFill="1" applyBorder="1" applyAlignment="1">
      <alignment horizontal="center" vertical="center"/>
    </xf>
    <xf numFmtId="49" fontId="11" fillId="0" borderId="5" xfId="164" applyNumberFormat="1" applyFont="1" applyFill="1" applyBorder="1" applyAlignment="1">
      <alignment horizontal="center" vertical="center"/>
    </xf>
    <xf numFmtId="176" fontId="11" fillId="0" borderId="5" xfId="71" applyNumberFormat="1" applyFont="1" applyFill="1" applyBorder="1" applyAlignment="1">
      <alignment horizontal="center" vertical="center"/>
    </xf>
    <xf numFmtId="177" fontId="10" fillId="0" borderId="5" xfId="0" applyNumberFormat="1" applyFont="1" applyFill="1" applyBorder="1" applyAlignment="1">
      <alignment horizontal="center" vertical="center" wrapText="1"/>
    </xf>
    <xf numFmtId="0" fontId="11" fillId="0" borderId="5" xfId="156" applyFont="1" applyFill="1" applyBorder="1" applyAlignment="1">
      <alignment horizontal="center" vertical="center"/>
    </xf>
    <xf numFmtId="176" fontId="11" fillId="0" borderId="5" xfId="73" applyNumberFormat="1" applyFont="1" applyFill="1" applyBorder="1" applyAlignment="1">
      <alignment horizontal="center" vertical="center"/>
    </xf>
    <xf numFmtId="176" fontId="11" fillId="0" borderId="6" xfId="0" applyNumberFormat="1" applyFont="1" applyFill="1" applyBorder="1" applyAlignment="1">
      <alignment horizontal="center"/>
    </xf>
    <xf numFmtId="0" fontId="11" fillId="0" borderId="8" xfId="167" applyFont="1" applyFill="1" applyBorder="1" applyAlignment="1">
      <alignment horizontal="center" vertical="center" shrinkToFit="1"/>
    </xf>
    <xf numFmtId="176" fontId="11" fillId="0" borderId="5" xfId="78" applyNumberFormat="1" applyFont="1" applyFill="1" applyBorder="1" applyAlignment="1">
      <alignment horizontal="center" vertical="center"/>
    </xf>
    <xf numFmtId="0" fontId="10" fillId="0" borderId="6" xfId="0" applyFont="1" applyFill="1" applyBorder="1" applyAlignment="1">
      <alignment horizontal="center" vertical="center"/>
    </xf>
    <xf numFmtId="176" fontId="10" fillId="0" borderId="6" xfId="79" applyNumberFormat="1" applyFont="1" applyFill="1" applyBorder="1" applyAlignment="1">
      <alignment horizontal="center" vertical="center"/>
    </xf>
    <xf numFmtId="0" fontId="11" fillId="0" borderId="5" xfId="163" quotePrefix="1" applyNumberFormat="1" applyFont="1" applyFill="1" applyBorder="1" applyAlignment="1">
      <alignment horizontal="center" vertical="center"/>
    </xf>
    <xf numFmtId="49" fontId="11" fillId="0" borderId="5" xfId="155" applyNumberFormat="1" applyFont="1" applyFill="1" applyBorder="1" applyAlignment="1">
      <alignment horizontal="center" vertical="center"/>
    </xf>
    <xf numFmtId="176" fontId="10" fillId="0" borderId="6" xfId="177" applyNumberFormat="1" applyFont="1" applyFill="1" applyBorder="1" applyAlignment="1">
      <alignment horizontal="center" vertical="center"/>
    </xf>
    <xf numFmtId="0" fontId="16" fillId="0" borderId="5" xfId="0" applyFont="1" applyFill="1" applyBorder="1" applyAlignment="1">
      <alignment horizontal="center" vertical="center"/>
    </xf>
    <xf numFmtId="0" fontId="11" fillId="0" borderId="5" xfId="160" applyFont="1" applyFill="1" applyBorder="1" applyAlignment="1">
      <alignment horizontal="center" vertical="center"/>
    </xf>
    <xf numFmtId="176" fontId="11" fillId="0" borderId="5" xfId="76" applyNumberFormat="1" applyFont="1" applyFill="1" applyBorder="1" applyAlignment="1">
      <alignment horizontal="center" vertical="center"/>
    </xf>
    <xf numFmtId="0" fontId="11" fillId="0" borderId="5" xfId="162" applyFont="1" applyFill="1" applyBorder="1" applyAlignment="1">
      <alignment horizontal="center" vertical="center"/>
    </xf>
    <xf numFmtId="49" fontId="16" fillId="0" borderId="5" xfId="0" applyNumberFormat="1" applyFont="1" applyFill="1" applyBorder="1" applyAlignment="1">
      <alignment horizontal="center" vertical="center"/>
    </xf>
    <xf numFmtId="49" fontId="12" fillId="0" borderId="5" xfId="0" applyNumberFormat="1" applyFont="1" applyFill="1" applyBorder="1">
      <alignment vertical="center"/>
    </xf>
    <xf numFmtId="0" fontId="12" fillId="0" borderId="5" xfId="0" applyFont="1" applyBorder="1">
      <alignment vertical="center"/>
    </xf>
    <xf numFmtId="49" fontId="11" fillId="0" borderId="5" xfId="156" applyNumberFormat="1" applyFont="1" applyFill="1" applyBorder="1" applyAlignment="1">
      <alignment horizontal="center" vertical="center"/>
    </xf>
    <xf numFmtId="176" fontId="10" fillId="0" borderId="6" xfId="112" applyNumberFormat="1" applyFont="1" applyFill="1" applyBorder="1" applyAlignment="1">
      <alignment horizontal="center" vertical="center"/>
    </xf>
    <xf numFmtId="0" fontId="4" fillId="0" borderId="5" xfId="0" applyFont="1" applyBorder="1">
      <alignment vertical="center"/>
    </xf>
    <xf numFmtId="0" fontId="11" fillId="0" borderId="9" xfId="154" applyFont="1" applyFill="1" applyBorder="1" applyAlignment="1">
      <alignment horizontal="center" vertical="center"/>
    </xf>
    <xf numFmtId="0" fontId="11" fillId="0" borderId="9" xfId="111" applyFont="1" applyFill="1" applyBorder="1" applyAlignment="1">
      <alignment horizontal="center" vertical="center"/>
    </xf>
    <xf numFmtId="0" fontId="11" fillId="0" borderId="9" xfId="71" applyFont="1" applyFill="1" applyBorder="1" applyAlignment="1">
      <alignment horizontal="center" vertical="center"/>
    </xf>
    <xf numFmtId="0" fontId="10" fillId="0" borderId="9" xfId="0" applyFont="1" applyFill="1" applyBorder="1" applyAlignment="1">
      <alignment horizontal="center" vertical="center" wrapText="1"/>
    </xf>
    <xf numFmtId="181" fontId="4" fillId="0" borderId="9" xfId="0" applyNumberFormat="1" applyFont="1" applyFill="1" applyBorder="1">
      <alignment vertical="center"/>
    </xf>
    <xf numFmtId="0" fontId="11" fillId="0" borderId="10" xfId="165" applyFont="1" applyFill="1" applyBorder="1" applyAlignment="1">
      <alignment horizontal="center" vertical="center" shrinkToFit="1"/>
    </xf>
    <xf numFmtId="0" fontId="4" fillId="0" borderId="9" xfId="0" applyFont="1" applyFill="1" applyBorder="1">
      <alignment vertical="center"/>
    </xf>
    <xf numFmtId="0" fontId="11" fillId="0" borderId="11" xfId="154" applyFont="1" applyFill="1" applyBorder="1" applyAlignment="1">
      <alignment horizontal="center" vertical="center"/>
    </xf>
    <xf numFmtId="0" fontId="11" fillId="0" borderId="11" xfId="111" applyFont="1" applyFill="1" applyBorder="1" applyAlignment="1">
      <alignment horizontal="center" vertical="center"/>
    </xf>
    <xf numFmtId="0" fontId="11" fillId="0" borderId="11" xfId="71" applyFont="1" applyFill="1" applyBorder="1" applyAlignment="1">
      <alignment horizontal="center" vertical="center"/>
    </xf>
    <xf numFmtId="0" fontId="10" fillId="0" borderId="11" xfId="0" applyFont="1" applyFill="1" applyBorder="1" applyAlignment="1">
      <alignment horizontal="center" vertical="center" wrapText="1"/>
    </xf>
    <xf numFmtId="181" fontId="4" fillId="0" borderId="11" xfId="0" applyNumberFormat="1" applyFont="1" applyFill="1" applyBorder="1">
      <alignment vertical="center"/>
    </xf>
    <xf numFmtId="0" fontId="11" fillId="0" borderId="12" xfId="165" applyFont="1" applyFill="1" applyBorder="1" applyAlignment="1">
      <alignment horizontal="center" vertical="center" shrinkToFit="1"/>
    </xf>
    <xf numFmtId="0" fontId="4" fillId="0" borderId="11" xfId="0" applyFont="1" applyFill="1" applyBorder="1">
      <alignment vertical="center"/>
    </xf>
    <xf numFmtId="0" fontId="11" fillId="0" borderId="11" xfId="155" applyFont="1" applyFill="1" applyBorder="1" applyAlignment="1">
      <alignment horizontal="center" vertical="center"/>
    </xf>
    <xf numFmtId="0" fontId="11" fillId="0" borderId="11" xfId="72" applyFont="1" applyFill="1" applyBorder="1" applyAlignment="1">
      <alignment horizontal="center" vertical="center"/>
    </xf>
    <xf numFmtId="181" fontId="11" fillId="0" borderId="11" xfId="111" applyNumberFormat="1" applyFont="1" applyFill="1" applyBorder="1" applyAlignment="1">
      <alignment horizontal="center" vertical="center"/>
    </xf>
    <xf numFmtId="0" fontId="11" fillId="0" borderId="12" xfId="166" applyFont="1" applyFill="1" applyBorder="1" applyAlignment="1">
      <alignment horizontal="center" vertical="center" shrinkToFit="1"/>
    </xf>
    <xf numFmtId="0" fontId="11" fillId="0" borderId="11" xfId="156" applyFont="1" applyFill="1" applyBorder="1" applyAlignment="1">
      <alignment horizontal="center" vertical="center"/>
    </xf>
    <xf numFmtId="0" fontId="11" fillId="0" borderId="11" xfId="73" applyFont="1" applyFill="1" applyBorder="1" applyAlignment="1">
      <alignment horizontal="center" vertical="center"/>
    </xf>
    <xf numFmtId="0" fontId="11" fillId="0" borderId="12" xfId="167" applyFont="1" applyFill="1" applyBorder="1" applyAlignment="1">
      <alignment horizontal="center" vertical="center" shrinkToFit="1"/>
    </xf>
    <xf numFmtId="0" fontId="11" fillId="0" borderId="11" xfId="158" applyFont="1" applyFill="1" applyBorder="1" applyAlignment="1">
      <alignment horizontal="center" vertical="center"/>
    </xf>
    <xf numFmtId="0" fontId="11" fillId="0" borderId="11" xfId="74" applyFont="1" applyFill="1" applyBorder="1" applyAlignment="1">
      <alignment horizontal="center" vertical="center"/>
    </xf>
    <xf numFmtId="0" fontId="10" fillId="0" borderId="11" xfId="0" applyFont="1" applyFill="1" applyBorder="1" applyAlignment="1">
      <alignment horizontal="center" vertical="center"/>
    </xf>
    <xf numFmtId="176" fontId="10" fillId="0" borderId="6" xfId="2" applyNumberFormat="1" applyFont="1" applyFill="1" applyBorder="1" applyAlignment="1">
      <alignment horizontal="center" vertical="center"/>
    </xf>
    <xf numFmtId="0" fontId="11" fillId="0" borderId="12" xfId="169" applyFont="1" applyFill="1" applyBorder="1" applyAlignment="1">
      <alignment horizontal="center" vertical="center" shrinkToFit="1"/>
    </xf>
    <xf numFmtId="0" fontId="11" fillId="0" borderId="11" xfId="160" applyFont="1" applyFill="1" applyBorder="1" applyAlignment="1">
      <alignment horizontal="center" vertical="center"/>
    </xf>
    <xf numFmtId="0" fontId="11" fillId="0" borderId="11" xfId="76" applyFont="1" applyFill="1" applyBorder="1" applyAlignment="1">
      <alignment horizontal="center" vertical="center"/>
    </xf>
    <xf numFmtId="0" fontId="11" fillId="0" borderId="12" xfId="171" applyFont="1" applyFill="1" applyBorder="1" applyAlignment="1">
      <alignment horizontal="center" vertical="center" shrinkToFit="1"/>
    </xf>
    <xf numFmtId="0" fontId="11" fillId="0" borderId="11" xfId="161" applyFont="1" applyFill="1" applyBorder="1" applyAlignment="1">
      <alignment horizontal="center" vertical="center"/>
    </xf>
    <xf numFmtId="0" fontId="11" fillId="0" borderId="11" xfId="77" applyFont="1" applyFill="1" applyBorder="1" applyAlignment="1">
      <alignment horizontal="center" vertical="center"/>
    </xf>
    <xf numFmtId="181" fontId="11" fillId="0" borderId="5" xfId="184" applyNumberFormat="1" applyFont="1" applyFill="1" applyBorder="1"/>
    <xf numFmtId="0" fontId="11" fillId="0" borderId="12" xfId="172" applyFont="1" applyFill="1" applyBorder="1" applyAlignment="1">
      <alignment horizontal="center" vertical="center" shrinkToFit="1"/>
    </xf>
    <xf numFmtId="49" fontId="11" fillId="0" borderId="11" xfId="161" applyNumberFormat="1" applyFont="1" applyFill="1" applyBorder="1" applyAlignment="1">
      <alignment horizontal="center" vertical="center"/>
    </xf>
    <xf numFmtId="179" fontId="9" fillId="3" borderId="5" xfId="0" applyNumberFormat="1" applyFont="1" applyFill="1" applyBorder="1" applyAlignment="1">
      <alignment horizontal="center" vertical="center" wrapText="1"/>
    </xf>
    <xf numFmtId="0" fontId="13" fillId="5" borderId="5" xfId="155" applyFont="1" applyFill="1" applyBorder="1" applyAlignment="1">
      <alignment horizontal="center" vertical="center"/>
    </xf>
    <xf numFmtId="0" fontId="13" fillId="5" borderId="5" xfId="111" applyFont="1" applyFill="1" applyBorder="1" applyAlignment="1">
      <alignment horizontal="center" vertical="center"/>
    </xf>
    <xf numFmtId="176" fontId="13" fillId="5" borderId="5" xfId="72" applyNumberFormat="1" applyFont="1" applyFill="1" applyBorder="1" applyAlignment="1">
      <alignment horizontal="center" vertical="center"/>
    </xf>
    <xf numFmtId="0" fontId="13" fillId="5" borderId="5" xfId="72" applyFont="1" applyFill="1" applyBorder="1" applyAlignment="1">
      <alignment horizontal="center" vertical="center"/>
    </xf>
    <xf numFmtId="177" fontId="13" fillId="5" borderId="5" xfId="72" applyNumberFormat="1" applyFont="1" applyFill="1" applyBorder="1" applyAlignment="1">
      <alignment horizontal="center" vertical="center"/>
    </xf>
    <xf numFmtId="0" fontId="13" fillId="5" borderId="6" xfId="72" applyFont="1" applyFill="1" applyBorder="1" applyAlignment="1">
      <alignment horizontal="center" vertical="center"/>
    </xf>
    <xf numFmtId="0" fontId="13" fillId="5" borderId="5" xfId="158" applyFont="1" applyFill="1" applyBorder="1" applyAlignment="1">
      <alignment horizontal="center" vertical="center"/>
    </xf>
    <xf numFmtId="176" fontId="13" fillId="5" borderId="5" xfId="74" applyNumberFormat="1" applyFont="1" applyFill="1" applyBorder="1" applyAlignment="1">
      <alignment horizontal="center" vertical="center"/>
    </xf>
    <xf numFmtId="177" fontId="8" fillId="5" borderId="5" xfId="0" applyNumberFormat="1" applyFont="1" applyFill="1" applyBorder="1" applyAlignment="1">
      <alignment horizontal="center" vertical="center"/>
    </xf>
    <xf numFmtId="181" fontId="13" fillId="5" borderId="5" xfId="111" applyNumberFormat="1" applyFont="1" applyFill="1" applyBorder="1" applyAlignment="1">
      <alignment horizontal="center" vertical="center"/>
    </xf>
    <xf numFmtId="176" fontId="13" fillId="5" borderId="6" xfId="195" applyNumberFormat="1" applyFont="1" applyFill="1" applyBorder="1" applyAlignment="1">
      <alignment horizontal="center"/>
    </xf>
    <xf numFmtId="0" fontId="13" fillId="5" borderId="5" xfId="164" applyFont="1" applyFill="1" applyBorder="1" applyAlignment="1">
      <alignment horizontal="center" vertical="center"/>
    </xf>
    <xf numFmtId="176" fontId="13" fillId="5" borderId="5" xfId="81" applyNumberFormat="1" applyFont="1" applyFill="1" applyBorder="1" applyAlignment="1">
      <alignment horizontal="center" vertical="center"/>
    </xf>
    <xf numFmtId="177" fontId="13" fillId="5" borderId="5" xfId="81" applyNumberFormat="1" applyFont="1" applyFill="1" applyBorder="1" applyAlignment="1">
      <alignment horizontal="center" vertical="center"/>
    </xf>
    <xf numFmtId="177" fontId="13" fillId="5" borderId="6" xfId="81" applyNumberFormat="1" applyFont="1" applyFill="1" applyBorder="1" applyAlignment="1">
      <alignment horizontal="center" vertical="center"/>
    </xf>
    <xf numFmtId="176" fontId="13" fillId="5" borderId="6" xfId="81" applyNumberFormat="1" applyFont="1" applyFill="1" applyBorder="1" applyAlignment="1">
      <alignment horizontal="center" vertical="center"/>
    </xf>
    <xf numFmtId="178" fontId="13" fillId="5" borderId="5" xfId="81" applyNumberFormat="1" applyFont="1" applyFill="1" applyBorder="1" applyAlignment="1">
      <alignment horizontal="center" vertical="center"/>
    </xf>
    <xf numFmtId="178" fontId="13" fillId="5" borderId="6" xfId="81" applyNumberFormat="1" applyFont="1" applyFill="1" applyBorder="1" applyAlignment="1">
      <alignment horizontal="center" vertical="center"/>
    </xf>
    <xf numFmtId="181" fontId="6" fillId="5" borderId="5" xfId="0" applyNumberFormat="1" applyFont="1" applyFill="1" applyBorder="1">
      <alignment vertical="center"/>
    </xf>
    <xf numFmtId="176" fontId="8" fillId="5" borderId="6" xfId="112" applyNumberFormat="1" applyFont="1" applyFill="1" applyBorder="1" applyAlignment="1">
      <alignment horizontal="center" vertical="center"/>
    </xf>
    <xf numFmtId="176" fontId="13" fillId="5" borderId="6" xfId="72" applyNumberFormat="1" applyFont="1" applyFill="1" applyBorder="1" applyAlignment="1">
      <alignment horizontal="center" vertical="center"/>
    </xf>
    <xf numFmtId="0" fontId="11" fillId="5" borderId="8" xfId="166" applyFont="1" applyFill="1" applyBorder="1" applyAlignment="1">
      <alignment horizontal="center" vertical="center" shrinkToFit="1"/>
    </xf>
    <xf numFmtId="0" fontId="4" fillId="5" borderId="5" xfId="0" applyFont="1" applyFill="1" applyBorder="1">
      <alignment vertical="center"/>
    </xf>
    <xf numFmtId="0" fontId="15" fillId="5" borderId="8" xfId="169" applyFont="1" applyFill="1" applyBorder="1" applyAlignment="1">
      <alignment horizontal="center" vertical="center" wrapText="1" shrinkToFit="1"/>
    </xf>
    <xf numFmtId="49" fontId="4" fillId="5" borderId="5" xfId="0" applyNumberFormat="1" applyFont="1" applyFill="1" applyBorder="1">
      <alignment vertical="center"/>
    </xf>
    <xf numFmtId="0" fontId="11" fillId="5" borderId="8" xfId="175" applyFont="1" applyFill="1" applyBorder="1" applyAlignment="1">
      <alignment horizontal="center" vertical="center" shrinkToFit="1"/>
    </xf>
    <xf numFmtId="0" fontId="11" fillId="5" borderId="8" xfId="174" applyFont="1" applyFill="1" applyBorder="1" applyAlignment="1">
      <alignment horizontal="center" vertical="center" shrinkToFit="1"/>
    </xf>
    <xf numFmtId="0" fontId="12" fillId="5" borderId="5" xfId="0" applyFont="1" applyFill="1" applyBorder="1">
      <alignment vertical="center"/>
    </xf>
    <xf numFmtId="182" fontId="14" fillId="5" borderId="7" xfId="72" applyNumberFormat="1" applyFont="1" applyFill="1" applyBorder="1" applyAlignment="1">
      <alignment horizontal="center" vertical="center"/>
    </xf>
    <xf numFmtId="176" fontId="9" fillId="5" borderId="5" xfId="0" applyNumberFormat="1" applyFont="1" applyFill="1" applyBorder="1" applyAlignment="1">
      <alignment horizontal="center" vertical="center" wrapText="1"/>
    </xf>
    <xf numFmtId="182" fontId="9" fillId="5" borderId="5" xfId="0" applyNumberFormat="1" applyFont="1" applyFill="1" applyBorder="1" applyAlignment="1">
      <alignment horizontal="center" vertical="center"/>
    </xf>
    <xf numFmtId="182" fontId="9" fillId="5" borderId="7" xfId="0" applyNumberFormat="1" applyFont="1" applyFill="1" applyBorder="1" applyAlignment="1">
      <alignment horizontal="center" vertical="center" wrapText="1"/>
    </xf>
    <xf numFmtId="177" fontId="14" fillId="5" borderId="7" xfId="81" applyNumberFormat="1" applyFont="1" applyFill="1" applyBorder="1" applyAlignment="1">
      <alignment horizontal="center" vertical="center"/>
    </xf>
    <xf numFmtId="178" fontId="14" fillId="5" borderId="7" xfId="81" applyNumberFormat="1" applyFont="1" applyFill="1" applyBorder="1" applyAlignment="1">
      <alignment horizontal="center" vertical="center"/>
    </xf>
    <xf numFmtId="177" fontId="14" fillId="5" borderId="7" xfId="72" applyNumberFormat="1" applyFont="1" applyFill="1" applyBorder="1" applyAlignment="1">
      <alignment horizontal="center" vertical="center"/>
    </xf>
    <xf numFmtId="176" fontId="14" fillId="5" borderId="5" xfId="72" applyNumberFormat="1" applyFont="1" applyFill="1" applyBorder="1" applyAlignment="1">
      <alignment horizontal="center" vertical="center"/>
    </xf>
    <xf numFmtId="182" fontId="9" fillId="5" borderId="5" xfId="0" applyNumberFormat="1" applyFont="1" applyFill="1" applyBorder="1" applyAlignment="1">
      <alignment horizontal="center" vertical="center" shrinkToFit="1"/>
    </xf>
    <xf numFmtId="0" fontId="6" fillId="2" borderId="13" xfId="0" applyFont="1" applyFill="1" applyBorder="1" applyAlignment="1">
      <alignment horizontal="center" vertical="center"/>
    </xf>
    <xf numFmtId="0" fontId="10" fillId="0" borderId="8" xfId="0" applyFont="1" applyBorder="1">
      <alignment vertical="center"/>
    </xf>
    <xf numFmtId="0" fontId="10" fillId="5" borderId="8" xfId="0" applyFont="1" applyFill="1" applyBorder="1">
      <alignment vertical="center"/>
    </xf>
    <xf numFmtId="180" fontId="9" fillId="4" borderId="5" xfId="0" applyNumberFormat="1" applyFont="1" applyFill="1" applyBorder="1" applyAlignment="1">
      <alignment horizontal="center" vertical="center" shrinkToFit="1"/>
    </xf>
    <xf numFmtId="180" fontId="9" fillId="4" borderId="5" xfId="0" applyNumberFormat="1" applyFont="1" applyFill="1" applyBorder="1" applyAlignment="1">
      <alignment horizontal="center" vertical="center"/>
    </xf>
    <xf numFmtId="180" fontId="9" fillId="5" borderId="5" xfId="0" applyNumberFormat="1" applyFont="1" applyFill="1" applyBorder="1" applyAlignment="1">
      <alignment horizontal="center" vertical="center"/>
    </xf>
    <xf numFmtId="180" fontId="17" fillId="5" borderId="5"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0" fontId="11" fillId="0" borderId="14" xfId="154" applyFont="1" applyFill="1" applyBorder="1" applyAlignment="1">
      <alignment horizontal="center" vertical="center"/>
    </xf>
    <xf numFmtId="0" fontId="11" fillId="0" borderId="14" xfId="111" applyFont="1" applyFill="1" applyBorder="1" applyAlignment="1">
      <alignment horizontal="center" vertical="center"/>
    </xf>
    <xf numFmtId="176" fontId="11" fillId="0" borderId="14" xfId="71" applyNumberFormat="1" applyFont="1" applyFill="1" applyBorder="1" applyAlignment="1">
      <alignment horizontal="center" vertical="center"/>
    </xf>
    <xf numFmtId="177" fontId="10" fillId="0" borderId="14" xfId="0" applyNumberFormat="1" applyFont="1" applyFill="1" applyBorder="1" applyAlignment="1">
      <alignment horizontal="center" vertical="center" wrapText="1"/>
    </xf>
    <xf numFmtId="181" fontId="4" fillId="0" borderId="14" xfId="0" applyNumberFormat="1" applyFont="1" applyFill="1" applyBorder="1">
      <alignment vertical="center"/>
    </xf>
    <xf numFmtId="182" fontId="9" fillId="3" borderId="15" xfId="0" applyNumberFormat="1" applyFont="1" applyFill="1" applyBorder="1" applyAlignment="1">
      <alignment horizontal="center" vertical="center" wrapText="1"/>
    </xf>
    <xf numFmtId="176" fontId="9" fillId="3" borderId="14" xfId="0" applyNumberFormat="1" applyFont="1" applyFill="1" applyBorder="1" applyAlignment="1">
      <alignment horizontal="center" vertical="center" wrapText="1"/>
    </xf>
    <xf numFmtId="182" fontId="9" fillId="4" borderId="14" xfId="0" applyNumberFormat="1" applyFont="1" applyFill="1" applyBorder="1" applyAlignment="1">
      <alignment horizontal="center" vertical="center"/>
    </xf>
    <xf numFmtId="180" fontId="9" fillId="4" borderId="14" xfId="0" applyNumberFormat="1" applyFont="1" applyFill="1" applyBorder="1" applyAlignment="1">
      <alignment horizontal="center" vertical="center"/>
    </xf>
    <xf numFmtId="0" fontId="10" fillId="0" borderId="16" xfId="0" applyFont="1" applyBorder="1">
      <alignment vertical="center"/>
    </xf>
    <xf numFmtId="0" fontId="11" fillId="0" borderId="16" xfId="165" applyFont="1" applyFill="1" applyBorder="1" applyAlignment="1">
      <alignment horizontal="center" vertical="center" shrinkToFit="1"/>
    </xf>
    <xf numFmtId="0" fontId="4" fillId="0" borderId="14" xfId="0" applyFont="1" applyFill="1" applyBorder="1">
      <alignment vertical="center"/>
    </xf>
    <xf numFmtId="0" fontId="8"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shrinkToFit="1"/>
    </xf>
    <xf numFmtId="178" fontId="6" fillId="2" borderId="1" xfId="0" applyNumberFormat="1" applyFont="1" applyFill="1" applyBorder="1" applyAlignment="1">
      <alignment horizontal="center" vertical="center" shrinkToFit="1"/>
    </xf>
    <xf numFmtId="180" fontId="9" fillId="4" borderId="1" xfId="0" applyNumberFormat="1" applyFont="1" applyFill="1" applyBorder="1" applyAlignment="1">
      <alignment horizontal="center" vertical="center" shrinkToFit="1"/>
    </xf>
    <xf numFmtId="180" fontId="9" fillId="6" borderId="1" xfId="0" applyNumberFormat="1" applyFont="1" applyFill="1" applyBorder="1" applyAlignment="1">
      <alignment horizontal="center" vertical="center" shrinkToFit="1"/>
    </xf>
    <xf numFmtId="180" fontId="9" fillId="6" borderId="17" xfId="0" applyNumberFormat="1" applyFont="1" applyFill="1" applyBorder="1" applyAlignment="1">
      <alignment horizontal="center" vertical="center" shrinkToFit="1"/>
    </xf>
    <xf numFmtId="180" fontId="9" fillId="6" borderId="14" xfId="0" applyNumberFormat="1" applyFont="1" applyFill="1" applyBorder="1" applyAlignment="1">
      <alignment horizontal="center" vertical="center"/>
    </xf>
    <xf numFmtId="180" fontId="9" fillId="6" borderId="5" xfId="0" applyNumberFormat="1" applyFont="1" applyFill="1" applyBorder="1" applyAlignment="1">
      <alignment horizontal="center" vertical="center"/>
    </xf>
    <xf numFmtId="180" fontId="9" fillId="6" borderId="5" xfId="0" applyNumberFormat="1" applyFont="1" applyFill="1" applyBorder="1" applyAlignment="1">
      <alignment horizontal="center" vertical="center" shrinkToFit="1"/>
    </xf>
    <xf numFmtId="179" fontId="9" fillId="6" borderId="18" xfId="1" applyNumberFormat="1" applyFont="1" applyFill="1" applyBorder="1" applyAlignment="1">
      <alignment horizontal="center" vertical="center"/>
    </xf>
    <xf numFmtId="176" fontId="14" fillId="5" borderId="5" xfId="81" applyNumberFormat="1" applyFont="1" applyFill="1" applyBorder="1" applyAlignment="1">
      <alignment horizontal="center" vertical="center" shrinkToFit="1"/>
    </xf>
    <xf numFmtId="179" fontId="9" fillId="5" borderId="18" xfId="1" applyNumberFormat="1" applyFont="1" applyFill="1" applyBorder="1" applyAlignment="1">
      <alignment horizontal="center" vertical="center"/>
    </xf>
    <xf numFmtId="182" fontId="9" fillId="5" borderId="19" xfId="0" applyNumberFormat="1" applyFont="1" applyFill="1" applyBorder="1" applyAlignment="1">
      <alignment horizontal="center" vertical="center" wrapText="1"/>
    </xf>
    <xf numFmtId="182" fontId="9" fillId="5" borderId="20" xfId="0" applyNumberFormat="1" applyFont="1" applyFill="1" applyBorder="1" applyAlignment="1">
      <alignment horizontal="center" vertical="center" wrapText="1"/>
    </xf>
    <xf numFmtId="180" fontId="9" fillId="5" borderId="20" xfId="0" applyNumberFormat="1" applyFont="1" applyFill="1" applyBorder="1" applyAlignment="1">
      <alignment horizontal="center" vertical="center"/>
    </xf>
    <xf numFmtId="179" fontId="9" fillId="5" borderId="21" xfId="1" applyNumberFormat="1" applyFont="1" applyFill="1" applyBorder="1" applyAlignment="1">
      <alignment horizontal="center" vertical="center"/>
    </xf>
    <xf numFmtId="180" fontId="9" fillId="5" borderId="5" xfId="0" applyNumberFormat="1" applyFont="1" applyFill="1" applyBorder="1" applyAlignment="1">
      <alignment horizontal="center" vertical="center" shrinkToFit="1"/>
    </xf>
    <xf numFmtId="182" fontId="9" fillId="5" borderId="7" xfId="0" applyNumberFormat="1" applyFont="1" applyFill="1" applyBorder="1" applyAlignment="1">
      <alignment horizontal="center" vertical="center" shrinkToFit="1"/>
    </xf>
    <xf numFmtId="176" fontId="9" fillId="5" borderId="5" xfId="0" applyNumberFormat="1" applyFont="1" applyFill="1" applyBorder="1" applyAlignment="1">
      <alignment horizontal="center" vertical="center" shrinkToFit="1"/>
    </xf>
    <xf numFmtId="180" fontId="17" fillId="5" borderId="5" xfId="0" applyNumberFormat="1" applyFont="1" applyFill="1" applyBorder="1" applyAlignment="1">
      <alignment horizontal="center" vertical="center" shrinkToFit="1"/>
    </xf>
    <xf numFmtId="180" fontId="9" fillId="5" borderId="20" xfId="0" applyNumberFormat="1" applyFont="1" applyFill="1" applyBorder="1" applyAlignment="1">
      <alignment horizontal="center" vertical="center" shrinkToFit="1"/>
    </xf>
    <xf numFmtId="178" fontId="9" fillId="5" borderId="20" xfId="0" applyNumberFormat="1" applyFont="1" applyFill="1" applyBorder="1" applyAlignment="1">
      <alignment horizontal="center" vertical="center" shrinkToFit="1"/>
    </xf>
    <xf numFmtId="180" fontId="9" fillId="3" borderId="1" xfId="0" applyNumberFormat="1" applyFont="1" applyFill="1" applyBorder="1" applyAlignment="1">
      <alignment horizontal="center" vertical="center" shrinkToFit="1"/>
    </xf>
    <xf numFmtId="178" fontId="9" fillId="4" borderId="1" xfId="0" applyNumberFormat="1" applyFont="1" applyFill="1" applyBorder="1" applyAlignment="1">
      <alignment horizontal="center" vertical="center" shrinkToFit="1"/>
    </xf>
    <xf numFmtId="0" fontId="11" fillId="0" borderId="11" xfId="162" applyNumberFormat="1" applyFont="1" applyFill="1" applyBorder="1" applyAlignment="1">
      <alignment horizontal="center" vertical="center"/>
    </xf>
    <xf numFmtId="0" fontId="11" fillId="0" borderId="14" xfId="164" applyFont="1" applyFill="1" applyBorder="1" applyAlignment="1">
      <alignment horizontal="center" vertical="center"/>
    </xf>
    <xf numFmtId="176" fontId="11" fillId="0" borderId="11" xfId="78" applyNumberFormat="1" applyFont="1" applyFill="1" applyBorder="1" applyAlignment="1">
      <alignment horizontal="center" vertical="center"/>
    </xf>
    <xf numFmtId="0" fontId="11" fillId="0" borderId="5" xfId="77" applyFont="1" applyFill="1" applyBorder="1" applyAlignment="1">
      <alignment horizontal="center" vertical="center"/>
    </xf>
    <xf numFmtId="176" fontId="11" fillId="0" borderId="11" xfId="72" applyNumberFormat="1" applyFont="1" applyFill="1" applyBorder="1" applyAlignment="1">
      <alignment horizontal="center" vertical="center"/>
    </xf>
    <xf numFmtId="176" fontId="11" fillId="0" borderId="11" xfId="81" applyNumberFormat="1" applyFont="1" applyFill="1" applyBorder="1" applyAlignment="1">
      <alignment horizontal="center" vertical="center"/>
    </xf>
    <xf numFmtId="0" fontId="11" fillId="0" borderId="9" xfId="76" applyFont="1" applyFill="1" applyBorder="1" applyAlignment="1">
      <alignment horizontal="center" vertical="center"/>
    </xf>
    <xf numFmtId="176" fontId="11" fillId="0" borderId="11" xfId="71" applyNumberFormat="1" applyFont="1" applyFill="1" applyBorder="1" applyAlignment="1">
      <alignment horizontal="center" vertical="center"/>
    </xf>
    <xf numFmtId="176" fontId="11" fillId="0" borderId="14" xfId="81" applyNumberFormat="1" applyFont="1" applyFill="1" applyBorder="1" applyAlignment="1">
      <alignment horizontal="center" vertical="center"/>
    </xf>
    <xf numFmtId="176" fontId="11" fillId="0" borderId="11" xfId="73" applyNumberFormat="1" applyFont="1" applyFill="1" applyBorder="1" applyAlignment="1">
      <alignment horizontal="center" vertical="center"/>
    </xf>
    <xf numFmtId="0" fontId="11" fillId="0" borderId="11" xfId="81" applyFont="1" applyFill="1" applyBorder="1" applyAlignment="1">
      <alignment horizontal="center" vertical="center"/>
    </xf>
    <xf numFmtId="176" fontId="11" fillId="0" borderId="11" xfId="76" applyNumberFormat="1" applyFont="1" applyFill="1" applyBorder="1" applyAlignment="1">
      <alignment horizontal="center" vertical="center"/>
    </xf>
    <xf numFmtId="0" fontId="11" fillId="0" borderId="5" xfId="74" applyFont="1" applyFill="1" applyBorder="1" applyAlignment="1">
      <alignment horizontal="center" vertical="center"/>
    </xf>
    <xf numFmtId="176" fontId="11" fillId="0" borderId="11" xfId="80" applyNumberFormat="1" applyFont="1" applyFill="1" applyBorder="1" applyAlignment="1">
      <alignment horizontal="center" vertical="center"/>
    </xf>
    <xf numFmtId="0" fontId="11" fillId="0" borderId="5" xfId="73" applyFont="1" applyFill="1" applyBorder="1" applyAlignment="1">
      <alignment horizontal="center" vertical="center"/>
    </xf>
    <xf numFmtId="177" fontId="10" fillId="0" borderId="11" xfId="0" applyNumberFormat="1" applyFont="1" applyFill="1" applyBorder="1" applyAlignment="1">
      <alignment horizontal="center" vertical="center"/>
    </xf>
    <xf numFmtId="177" fontId="10" fillId="0" borderId="11" xfId="0" applyNumberFormat="1" applyFont="1" applyFill="1" applyBorder="1" applyAlignment="1">
      <alignment horizontal="center" vertical="center" wrapText="1"/>
    </xf>
    <xf numFmtId="0" fontId="10" fillId="0" borderId="9" xfId="0" applyFont="1" applyFill="1" applyBorder="1" applyAlignment="1">
      <alignment horizontal="center" vertical="center"/>
    </xf>
    <xf numFmtId="177" fontId="10" fillId="0" borderId="14" xfId="0" applyNumberFormat="1" applyFont="1" applyFill="1" applyBorder="1" applyAlignment="1">
      <alignment horizontal="center" vertical="center"/>
    </xf>
    <xf numFmtId="177" fontId="11" fillId="0" borderId="11" xfId="111" applyNumberFormat="1" applyFont="1" applyFill="1" applyBorder="1" applyAlignment="1">
      <alignment horizontal="center" vertical="center"/>
    </xf>
    <xf numFmtId="181" fontId="11" fillId="0" borderId="9" xfId="111" applyNumberFormat="1" applyFont="1" applyFill="1" applyBorder="1" applyAlignment="1">
      <alignment horizontal="center" vertical="center"/>
    </xf>
    <xf numFmtId="181" fontId="11" fillId="0" borderId="11" xfId="184" applyNumberFormat="1" applyFont="1" applyFill="1" applyBorder="1"/>
    <xf numFmtId="0" fontId="11" fillId="0" borderId="8" xfId="172" applyFont="1" applyFill="1" applyBorder="1" applyAlignment="1">
      <alignment horizontal="center" vertical="center" shrinkToFit="1"/>
    </xf>
    <xf numFmtId="0" fontId="11" fillId="0" borderId="12" xfId="175" applyFont="1" applyFill="1" applyBorder="1" applyAlignment="1">
      <alignment horizontal="center" vertical="center" shrinkToFit="1"/>
    </xf>
    <xf numFmtId="0" fontId="11" fillId="0" borderId="10" xfId="171" applyFont="1" applyFill="1" applyBorder="1" applyAlignment="1">
      <alignment horizontal="center" vertical="center" shrinkToFit="1"/>
    </xf>
    <xf numFmtId="0" fontId="11" fillId="0" borderId="16" xfId="175" applyFont="1" applyFill="1" applyBorder="1" applyAlignment="1">
      <alignment horizontal="center" vertical="center" shrinkToFit="1"/>
    </xf>
    <xf numFmtId="0" fontId="11" fillId="0" borderId="12" xfId="174" applyFont="1" applyFill="1" applyBorder="1" applyAlignment="1">
      <alignment horizontal="center" vertical="center" shrinkToFit="1"/>
    </xf>
    <xf numFmtId="0" fontId="12" fillId="0" borderId="11" xfId="0" applyFont="1" applyFill="1" applyBorder="1">
      <alignment vertical="center"/>
    </xf>
    <xf numFmtId="49" fontId="12" fillId="0" borderId="11" xfId="0" applyNumberFormat="1" applyFont="1" applyFill="1" applyBorder="1">
      <alignment vertical="center"/>
    </xf>
    <xf numFmtId="0" fontId="4" fillId="0" borderId="11" xfId="0" applyFont="1" applyBorder="1">
      <alignment vertical="center"/>
    </xf>
    <xf numFmtId="0" fontId="11" fillId="0" borderId="14" xfId="164" applyNumberFormat="1" applyFont="1" applyFill="1" applyBorder="1" applyAlignment="1">
      <alignment horizontal="center" vertical="center"/>
    </xf>
    <xf numFmtId="0" fontId="11" fillId="0" borderId="5" xfId="164" applyNumberFormat="1" applyFont="1" applyFill="1" applyBorder="1" applyAlignment="1">
      <alignment horizontal="center" vertical="center"/>
    </xf>
    <xf numFmtId="0" fontId="11" fillId="0" borderId="5" xfId="154" applyNumberFormat="1" applyFont="1" applyFill="1" applyBorder="1" applyAlignment="1">
      <alignment horizontal="center" vertical="center"/>
    </xf>
    <xf numFmtId="0" fontId="11" fillId="0" borderId="5" xfId="161" applyNumberFormat="1" applyFont="1" applyFill="1" applyBorder="1" applyAlignment="1">
      <alignment horizontal="center" vertical="center"/>
    </xf>
    <xf numFmtId="0" fontId="11" fillId="0" borderId="5" xfId="155" applyNumberFormat="1" applyFont="1" applyFill="1" applyBorder="1" applyAlignment="1">
      <alignment horizontal="center" vertical="center"/>
    </xf>
    <xf numFmtId="0" fontId="11" fillId="0" borderId="5" xfId="163" applyNumberFormat="1" applyFont="1" applyFill="1" applyBorder="1" applyAlignment="1">
      <alignment horizontal="center" vertical="center"/>
    </xf>
    <xf numFmtId="0" fontId="11" fillId="0" borderId="5" xfId="158" applyNumberFormat="1" applyFont="1" applyFill="1" applyBorder="1" applyAlignment="1">
      <alignment horizontal="center" vertical="center"/>
    </xf>
    <xf numFmtId="0" fontId="11" fillId="0" borderId="5" xfId="156" applyNumberFormat="1" applyFont="1" applyFill="1" applyBorder="1" applyAlignment="1">
      <alignment horizontal="center" vertical="center"/>
    </xf>
    <xf numFmtId="0" fontId="11" fillId="0" borderId="9" xfId="160" applyNumberFormat="1" applyFont="1" applyFill="1" applyBorder="1" applyAlignment="1">
      <alignment horizontal="center" vertical="center"/>
    </xf>
    <xf numFmtId="0" fontId="11" fillId="0" borderId="11" xfId="161" applyNumberFormat="1" applyFont="1" applyFill="1" applyBorder="1" applyAlignment="1">
      <alignment horizontal="center" vertical="center"/>
    </xf>
    <xf numFmtId="0" fontId="11" fillId="0" borderId="11" xfId="164" applyNumberFormat="1" applyFont="1" applyFill="1" applyBorder="1" applyAlignment="1">
      <alignment horizontal="center" vertical="center"/>
    </xf>
    <xf numFmtId="0" fontId="11" fillId="0" borderId="11" xfId="154" applyNumberFormat="1" applyFont="1" applyFill="1" applyBorder="1" applyAlignment="1">
      <alignment horizontal="center" vertical="center"/>
    </xf>
    <xf numFmtId="0" fontId="11" fillId="0" borderId="11" xfId="155" applyNumberFormat="1" applyFont="1" applyFill="1" applyBorder="1" applyAlignment="1">
      <alignment horizontal="center" vertical="center"/>
    </xf>
    <xf numFmtId="0" fontId="11" fillId="0" borderId="11" xfId="163" applyNumberFormat="1" applyFont="1" applyFill="1" applyBorder="1" applyAlignment="1">
      <alignment horizontal="center" vertical="center"/>
    </xf>
    <xf numFmtId="0" fontId="11" fillId="0" borderId="11" xfId="160" applyNumberFormat="1" applyFont="1" applyFill="1" applyBorder="1" applyAlignment="1">
      <alignment horizontal="center" vertical="center"/>
    </xf>
    <xf numFmtId="0" fontId="11" fillId="0" borderId="11" xfId="156" applyNumberFormat="1" applyFont="1" applyFill="1" applyBorder="1" applyAlignment="1">
      <alignment horizontal="center" vertical="center"/>
    </xf>
    <xf numFmtId="180" fontId="9" fillId="4" borderId="17" xfId="0" applyNumberFormat="1" applyFont="1" applyFill="1" applyBorder="1" applyAlignment="1">
      <alignment horizontal="center" vertical="center" shrinkToFit="1"/>
    </xf>
    <xf numFmtId="180" fontId="9" fillId="4" borderId="18" xfId="0" applyNumberFormat="1" applyFont="1" applyFill="1" applyBorder="1" applyAlignment="1">
      <alignment horizontal="center" vertical="center"/>
    </xf>
    <xf numFmtId="180" fontId="9" fillId="4" borderId="22" xfId="0" applyNumberFormat="1" applyFont="1" applyFill="1" applyBorder="1" applyAlignment="1">
      <alignment horizontal="center" vertical="center" shrinkToFit="1"/>
    </xf>
    <xf numFmtId="180" fontId="9" fillId="4" borderId="22" xfId="0" applyNumberFormat="1" applyFont="1" applyFill="1" applyBorder="1" applyAlignment="1">
      <alignment horizontal="center" vertical="center"/>
    </xf>
    <xf numFmtId="182" fontId="9" fillId="3" borderId="19" xfId="0" applyNumberFormat="1" applyFont="1" applyFill="1" applyBorder="1" applyAlignment="1">
      <alignment horizontal="center" vertical="center" wrapText="1"/>
    </xf>
    <xf numFmtId="176" fontId="9" fillId="3" borderId="20" xfId="0" applyNumberFormat="1" applyFont="1" applyFill="1" applyBorder="1" applyAlignment="1">
      <alignment horizontal="center" vertical="center" wrapText="1"/>
    </xf>
    <xf numFmtId="182" fontId="9" fillId="4" borderId="20" xfId="0" applyNumberFormat="1" applyFont="1" applyFill="1" applyBorder="1" applyAlignment="1">
      <alignment horizontal="center" vertical="center"/>
    </xf>
    <xf numFmtId="180" fontId="9" fillId="4" borderId="23" xfId="0" applyNumberFormat="1" applyFont="1" applyFill="1" applyBorder="1" applyAlignment="1">
      <alignment horizontal="center" vertical="center"/>
    </xf>
    <xf numFmtId="179" fontId="10" fillId="0" borderId="8" xfId="0" applyNumberFormat="1" applyFont="1" applyBorder="1">
      <alignment vertical="center"/>
    </xf>
    <xf numFmtId="176" fontId="11" fillId="0" borderId="6" xfId="0" applyNumberFormat="1" applyFont="1" applyFill="1" applyBorder="1" applyAlignment="1">
      <alignment horizontal="center" vertical="center"/>
    </xf>
    <xf numFmtId="176" fontId="10" fillId="0" borderId="5" xfId="0" applyNumberFormat="1" applyFont="1" applyFill="1" applyBorder="1" applyAlignment="1">
      <alignment horizontal="center" vertical="center"/>
    </xf>
    <xf numFmtId="176" fontId="10" fillId="0" borderId="5" xfId="112" applyNumberFormat="1" applyFont="1" applyFill="1" applyBorder="1" applyAlignment="1">
      <alignment horizontal="center" vertical="center"/>
    </xf>
    <xf numFmtId="182" fontId="9" fillId="3" borderId="5" xfId="0" applyNumberFormat="1" applyFont="1" applyFill="1" applyBorder="1" applyAlignment="1">
      <alignment horizontal="center" vertical="center" wrapText="1"/>
    </xf>
    <xf numFmtId="179" fontId="9" fillId="6" borderId="5" xfId="1" applyNumberFormat="1" applyFont="1" applyFill="1" applyBorder="1" applyAlignment="1">
      <alignment horizontal="center" vertical="center"/>
    </xf>
    <xf numFmtId="0" fontId="10" fillId="0" borderId="5" xfId="0" applyFont="1" applyBorder="1">
      <alignment vertical="center"/>
    </xf>
    <xf numFmtId="0" fontId="11" fillId="0" borderId="5" xfId="175" applyFont="1" applyFill="1" applyBorder="1" applyAlignment="1">
      <alignment horizontal="center" vertical="center" shrinkToFit="1"/>
    </xf>
    <xf numFmtId="0" fontId="5" fillId="0" borderId="0" xfId="0" applyFont="1" applyBorder="1" applyAlignment="1">
      <alignment horizontal="center" vertical="center"/>
    </xf>
    <xf numFmtId="49" fontId="11" fillId="0" borderId="14" xfId="164" applyNumberFormat="1" applyFont="1" applyFill="1" applyBorder="1" applyAlignment="1">
      <alignment horizontal="center" vertical="center"/>
    </xf>
    <xf numFmtId="49" fontId="11" fillId="0" borderId="11" xfId="164" applyNumberFormat="1" applyFont="1" applyFill="1" applyBorder="1" applyAlignment="1">
      <alignment horizontal="center" vertical="center"/>
    </xf>
    <xf numFmtId="49" fontId="11" fillId="0" borderId="5" xfId="154" applyNumberFormat="1" applyFont="1" applyFill="1" applyBorder="1" applyAlignment="1">
      <alignment horizontal="center" vertical="center"/>
    </xf>
    <xf numFmtId="49" fontId="11" fillId="0" borderId="5" xfId="161" applyNumberFormat="1" applyFont="1" applyFill="1" applyBorder="1" applyAlignment="1">
      <alignment horizontal="center" vertical="center"/>
    </xf>
    <xf numFmtId="49" fontId="11" fillId="0" borderId="11" xfId="155" applyNumberFormat="1" applyFont="1" applyFill="1" applyBorder="1" applyAlignment="1">
      <alignment horizontal="center" vertical="center"/>
    </xf>
    <xf numFmtId="49" fontId="11" fillId="0" borderId="11" xfId="156" applyNumberFormat="1" applyFont="1" applyFill="1" applyBorder="1" applyAlignment="1">
      <alignment horizontal="center" vertical="center"/>
    </xf>
    <xf numFmtId="49" fontId="11" fillId="0" borderId="5" xfId="163" quotePrefix="1" applyNumberFormat="1" applyFont="1" applyFill="1" applyBorder="1" applyAlignment="1">
      <alignment horizontal="center" vertical="center"/>
    </xf>
    <xf numFmtId="49" fontId="11" fillId="0" borderId="5" xfId="162" applyNumberFormat="1" applyFont="1" applyFill="1" applyBorder="1" applyAlignment="1">
      <alignment horizontal="center" vertical="center"/>
    </xf>
    <xf numFmtId="49" fontId="11" fillId="0" borderId="5" xfId="162" quotePrefix="1" applyNumberFormat="1" applyFont="1" applyFill="1" applyBorder="1" applyAlignment="1">
      <alignment horizontal="center" vertical="center"/>
    </xf>
    <xf numFmtId="49" fontId="11" fillId="0" borderId="5" xfId="163" applyNumberFormat="1" applyFont="1" applyFill="1" applyBorder="1" applyAlignment="1">
      <alignment horizontal="center" vertical="center"/>
    </xf>
    <xf numFmtId="49" fontId="11" fillId="0" borderId="5" xfId="158" applyNumberFormat="1" applyFont="1" applyFill="1" applyBorder="1" applyAlignment="1">
      <alignment horizontal="center" vertical="center"/>
    </xf>
    <xf numFmtId="49" fontId="11" fillId="0" borderId="9" xfId="160" applyNumberFormat="1" applyFont="1" applyFill="1" applyBorder="1" applyAlignment="1">
      <alignment horizontal="center" vertical="center"/>
    </xf>
    <xf numFmtId="49" fontId="11" fillId="0" borderId="11" xfId="154" applyNumberFormat="1" applyFont="1" applyFill="1" applyBorder="1" applyAlignment="1">
      <alignment horizontal="center" vertical="center"/>
    </xf>
    <xf numFmtId="49" fontId="11" fillId="0" borderId="11" xfId="163" applyNumberFormat="1" applyFont="1" applyFill="1" applyBorder="1" applyAlignment="1">
      <alignment horizontal="center" vertical="center"/>
    </xf>
    <xf numFmtId="49" fontId="11" fillId="0" borderId="11" xfId="160" applyNumberFormat="1" applyFont="1" applyFill="1" applyBorder="1" applyAlignment="1">
      <alignment horizontal="center" vertical="center"/>
    </xf>
    <xf numFmtId="49" fontId="11" fillId="0" borderId="11" xfId="162" applyNumberFormat="1" applyFont="1" applyFill="1" applyBorder="1" applyAlignment="1">
      <alignment horizontal="center" vertical="center"/>
    </xf>
    <xf numFmtId="180" fontId="0" fillId="0" borderId="0" xfId="0" applyNumberFormat="1">
      <alignment vertical="center"/>
    </xf>
    <xf numFmtId="4" fontId="0" fillId="0" borderId="0" xfId="0" applyNumberFormat="1">
      <alignment vertical="center"/>
    </xf>
    <xf numFmtId="0" fontId="0" fillId="0" borderId="0" xfId="0" applyAlignment="1">
      <alignment vertical="center"/>
    </xf>
    <xf numFmtId="0" fontId="21" fillId="0" borderId="0" xfId="0" applyFont="1">
      <alignment vertical="center"/>
    </xf>
    <xf numFmtId="180" fontId="5" fillId="0" borderId="0" xfId="0" applyNumberFormat="1" applyFont="1" applyBorder="1" applyAlignment="1">
      <alignment horizontal="center" vertical="center"/>
    </xf>
    <xf numFmtId="0" fontId="39" fillId="0" borderId="0" xfId="0" applyFont="1" applyBorder="1">
      <alignment vertical="center"/>
    </xf>
    <xf numFmtId="0" fontId="39" fillId="0" borderId="0" xfId="0" applyFont="1" applyBorder="1" applyAlignment="1">
      <alignment horizontal="center" vertical="center"/>
    </xf>
    <xf numFmtId="4" fontId="40" fillId="0" borderId="0" xfId="0" applyNumberFormat="1" applyFont="1">
      <alignment vertical="center"/>
    </xf>
    <xf numFmtId="0" fontId="40" fillId="0" borderId="0" xfId="0" applyFont="1">
      <alignment vertical="center"/>
    </xf>
    <xf numFmtId="0" fontId="41" fillId="0" borderId="49" xfId="0" applyFont="1" applyBorder="1">
      <alignment vertical="center"/>
    </xf>
    <xf numFmtId="0" fontId="41" fillId="0" borderId="52" xfId="0" applyFont="1" applyBorder="1">
      <alignment vertical="center"/>
    </xf>
    <xf numFmtId="0" fontId="41" fillId="0" borderId="53" xfId="0" applyFont="1" applyBorder="1">
      <alignment vertical="center"/>
    </xf>
    <xf numFmtId="0" fontId="41" fillId="0" borderId="56" xfId="0" applyFont="1" applyBorder="1">
      <alignment vertical="center"/>
    </xf>
    <xf numFmtId="0" fontId="41" fillId="0" borderId="57" xfId="0" applyFont="1" applyBorder="1">
      <alignment vertical="center"/>
    </xf>
    <xf numFmtId="0" fontId="41" fillId="0" borderId="46" xfId="0" applyFont="1" applyBorder="1">
      <alignment vertical="center"/>
    </xf>
    <xf numFmtId="0" fontId="41" fillId="0" borderId="49" xfId="0" applyFont="1" applyFill="1" applyBorder="1">
      <alignment vertical="center"/>
    </xf>
    <xf numFmtId="0" fontId="41" fillId="0" borderId="57" xfId="0" applyFont="1" applyFill="1" applyBorder="1">
      <alignment vertical="center"/>
    </xf>
    <xf numFmtId="0" fontId="42" fillId="0" borderId="45" xfId="0" applyFont="1" applyFill="1" applyBorder="1" applyAlignment="1">
      <alignment horizontal="centerContinuous" vertical="center" shrinkToFit="1"/>
    </xf>
    <xf numFmtId="0" fontId="42" fillId="0" borderId="31" xfId="0" applyFont="1" applyFill="1" applyBorder="1" applyAlignment="1">
      <alignment horizontal="center" vertical="center" shrinkToFit="1"/>
    </xf>
    <xf numFmtId="176" fontId="42" fillId="0" borderId="31" xfId="0" applyNumberFormat="1" applyFont="1" applyFill="1" applyBorder="1" applyAlignment="1">
      <alignment horizontal="center" vertical="center" shrinkToFit="1"/>
    </xf>
    <xf numFmtId="0" fontId="43" fillId="0" borderId="50" xfId="0" applyFont="1" applyFill="1" applyBorder="1" applyAlignment="1">
      <alignment horizontal="center" vertical="center" wrapText="1"/>
    </xf>
    <xf numFmtId="0" fontId="44" fillId="0" borderId="51" xfId="111" applyFont="1" applyFill="1" applyBorder="1" applyAlignment="1">
      <alignment horizontal="center" vertical="center" shrinkToFit="1"/>
    </xf>
    <xf numFmtId="0" fontId="44" fillId="0" borderId="51" xfId="71" applyFont="1" applyFill="1" applyBorder="1" applyAlignment="1">
      <alignment horizontal="center" vertical="center"/>
    </xf>
    <xf numFmtId="177" fontId="45" fillId="0" borderId="51" xfId="0" applyNumberFormat="1" applyFont="1" applyFill="1" applyBorder="1" applyAlignment="1">
      <alignment horizontal="center" vertical="center"/>
    </xf>
    <xf numFmtId="181" fontId="46" fillId="0" borderId="51" xfId="0" applyNumberFormat="1" applyFont="1" applyFill="1" applyBorder="1" applyAlignment="1">
      <alignment horizontal="center" vertical="center"/>
    </xf>
    <xf numFmtId="0" fontId="46" fillId="0" borderId="51" xfId="0" applyFont="1" applyBorder="1" applyAlignment="1">
      <alignment horizontal="center" vertical="center" wrapText="1" shrinkToFit="1"/>
    </xf>
    <xf numFmtId="0" fontId="47" fillId="0" borderId="51" xfId="165" applyFont="1" applyFill="1" applyBorder="1" applyAlignment="1">
      <alignment horizontal="center" vertical="center" shrinkToFit="1"/>
    </xf>
    <xf numFmtId="0" fontId="46" fillId="0" borderId="51" xfId="0" applyFont="1" applyFill="1" applyBorder="1" applyAlignment="1">
      <alignment horizontal="center" vertical="center" shrinkToFit="1"/>
    </xf>
    <xf numFmtId="0" fontId="43" fillId="0" borderId="54" xfId="0" applyFont="1" applyFill="1" applyBorder="1" applyAlignment="1">
      <alignment horizontal="center" vertical="center" wrapText="1"/>
    </xf>
    <xf numFmtId="0" fontId="44" fillId="0" borderId="55" xfId="111" applyFont="1" applyFill="1" applyBorder="1" applyAlignment="1">
      <alignment horizontal="center" vertical="center" shrinkToFit="1"/>
    </xf>
    <xf numFmtId="181" fontId="46" fillId="0" borderId="55" xfId="0" applyNumberFormat="1" applyFont="1" applyFill="1" applyBorder="1" applyAlignment="1">
      <alignment horizontal="center" vertical="center"/>
    </xf>
    <xf numFmtId="0" fontId="46" fillId="0" borderId="55" xfId="0" applyFont="1" applyBorder="1" applyAlignment="1">
      <alignment horizontal="center" vertical="center" wrapText="1" shrinkToFit="1"/>
    </xf>
    <xf numFmtId="0" fontId="47" fillId="0" borderId="55" xfId="165" applyFont="1" applyFill="1" applyBorder="1" applyAlignment="1">
      <alignment horizontal="center" vertical="center" shrinkToFit="1"/>
    </xf>
    <xf numFmtId="0" fontId="46" fillId="0" borderId="55" xfId="0" applyFont="1" applyFill="1" applyBorder="1" applyAlignment="1">
      <alignment horizontal="center" vertical="center" shrinkToFit="1"/>
    </xf>
    <xf numFmtId="0" fontId="43" fillId="0" borderId="42" xfId="0" applyFont="1" applyFill="1" applyBorder="1" applyAlignment="1">
      <alignment horizontal="center" vertical="center" wrapText="1"/>
    </xf>
    <xf numFmtId="0" fontId="44" fillId="0" borderId="32" xfId="111" applyFont="1" applyFill="1" applyBorder="1" applyAlignment="1">
      <alignment horizontal="center" vertical="center" shrinkToFit="1"/>
    </xf>
    <xf numFmtId="181" fontId="46" fillId="0" borderId="32" xfId="0" applyNumberFormat="1" applyFont="1" applyFill="1" applyBorder="1" applyAlignment="1">
      <alignment horizontal="center" vertical="center"/>
    </xf>
    <xf numFmtId="0" fontId="46" fillId="0" borderId="32" xfId="0" applyFont="1" applyBorder="1" applyAlignment="1">
      <alignment horizontal="center" vertical="center" wrapText="1" shrinkToFit="1"/>
    </xf>
    <xf numFmtId="0" fontId="47" fillId="0" borderId="58" xfId="165" applyFont="1" applyFill="1" applyBorder="1" applyAlignment="1">
      <alignment horizontal="center" vertical="center" shrinkToFit="1"/>
    </xf>
    <xf numFmtId="0" fontId="46" fillId="0" borderId="32" xfId="0" applyFont="1" applyFill="1" applyBorder="1" applyAlignment="1">
      <alignment horizontal="center" vertical="center" shrinkToFit="1"/>
    </xf>
    <xf numFmtId="0" fontId="44" fillId="0" borderId="45" xfId="111" applyFont="1" applyFill="1" applyBorder="1" applyAlignment="1">
      <alignment horizontal="center" vertical="center" shrinkToFit="1"/>
    </xf>
    <xf numFmtId="177" fontId="45" fillId="0" borderId="45" xfId="0" applyNumberFormat="1" applyFont="1" applyFill="1" applyBorder="1" applyAlignment="1">
      <alignment horizontal="center" vertical="center"/>
    </xf>
    <xf numFmtId="181" fontId="46" fillId="0" borderId="45" xfId="0" applyNumberFormat="1" applyFont="1" applyFill="1" applyBorder="1" applyAlignment="1">
      <alignment horizontal="center" vertical="center"/>
    </xf>
    <xf numFmtId="0" fontId="46" fillId="0" borderId="45" xfId="0" applyFont="1" applyBorder="1" applyAlignment="1">
      <alignment horizontal="center" vertical="center" wrapText="1" shrinkToFit="1"/>
    </xf>
    <xf numFmtId="0" fontId="47" fillId="0" borderId="32" xfId="165" applyFont="1" applyFill="1" applyBorder="1" applyAlignment="1">
      <alignment horizontal="center" vertical="center" shrinkToFit="1"/>
    </xf>
    <xf numFmtId="0" fontId="46" fillId="0" borderId="45" xfId="0" applyFont="1" applyFill="1" applyBorder="1" applyAlignment="1">
      <alignment horizontal="center" vertical="center" shrinkToFit="1"/>
    </xf>
    <xf numFmtId="0" fontId="44" fillId="0" borderId="48" xfId="111" applyFont="1" applyFill="1" applyBorder="1" applyAlignment="1">
      <alignment horizontal="center" vertical="center" shrinkToFit="1"/>
    </xf>
    <xf numFmtId="177" fontId="45" fillId="0" borderId="48" xfId="0" applyNumberFormat="1" applyFont="1" applyFill="1" applyBorder="1" applyAlignment="1">
      <alignment horizontal="center" vertical="center"/>
    </xf>
    <xf numFmtId="181" fontId="46" fillId="0" borderId="48" xfId="0" applyNumberFormat="1" applyFont="1" applyFill="1" applyBorder="1" applyAlignment="1">
      <alignment horizontal="center" vertical="center"/>
    </xf>
    <xf numFmtId="0" fontId="46" fillId="0" borderId="48" xfId="0" applyFont="1" applyBorder="1" applyAlignment="1">
      <alignment horizontal="center" vertical="center" wrapText="1" shrinkToFit="1"/>
    </xf>
    <xf numFmtId="0" fontId="46" fillId="0" borderId="48" xfId="0" applyFont="1" applyFill="1" applyBorder="1" applyAlignment="1">
      <alignment horizontal="center" vertical="center" shrinkToFit="1"/>
    </xf>
    <xf numFmtId="0" fontId="44" fillId="0" borderId="32" xfId="77" applyFont="1" applyFill="1" applyBorder="1" applyAlignment="1">
      <alignment horizontal="center" vertical="center"/>
    </xf>
    <xf numFmtId="177" fontId="44" fillId="0" borderId="32" xfId="77" applyNumberFormat="1" applyFont="1" applyFill="1" applyBorder="1" applyAlignment="1">
      <alignment horizontal="center" vertical="center"/>
    </xf>
    <xf numFmtId="0" fontId="44" fillId="0" borderId="55" xfId="77" applyFont="1" applyFill="1" applyBorder="1" applyAlignment="1">
      <alignment horizontal="center" vertical="center"/>
    </xf>
    <xf numFmtId="177" fontId="44" fillId="0" borderId="55" xfId="77" applyNumberFormat="1" applyFont="1" applyFill="1" applyBorder="1" applyAlignment="1">
      <alignment horizontal="center" vertical="center"/>
    </xf>
    <xf numFmtId="176" fontId="44" fillId="0" borderId="45" xfId="72" applyNumberFormat="1" applyFont="1" applyFill="1" applyBorder="1" applyAlignment="1">
      <alignment horizontal="center" vertical="center"/>
    </xf>
    <xf numFmtId="12" fontId="46" fillId="0" borderId="45" xfId="0" applyNumberFormat="1" applyFont="1" applyFill="1" applyBorder="1" applyAlignment="1">
      <alignment horizontal="center" vertical="center"/>
    </xf>
    <xf numFmtId="176" fontId="44" fillId="0" borderId="48" xfId="72" applyNumberFormat="1" applyFont="1" applyFill="1" applyBorder="1" applyAlignment="1">
      <alignment horizontal="center" vertical="center"/>
    </xf>
    <xf numFmtId="12" fontId="46" fillId="0" borderId="48" xfId="0" applyNumberFormat="1" applyFont="1" applyFill="1" applyBorder="1" applyAlignment="1">
      <alignment horizontal="center" vertical="center"/>
    </xf>
    <xf numFmtId="0" fontId="44" fillId="0" borderId="14" xfId="111" applyFont="1" applyFill="1" applyBorder="1" applyAlignment="1">
      <alignment horizontal="center" vertical="center" shrinkToFit="1"/>
    </xf>
    <xf numFmtId="176" fontId="44" fillId="0" borderId="14" xfId="72" applyNumberFormat="1" applyFont="1" applyFill="1" applyBorder="1" applyAlignment="1">
      <alignment horizontal="center" vertical="center"/>
    </xf>
    <xf numFmtId="177" fontId="45" fillId="0" borderId="14" xfId="0" applyNumberFormat="1" applyFont="1" applyFill="1" applyBorder="1" applyAlignment="1">
      <alignment horizontal="center" vertical="center"/>
    </xf>
    <xf numFmtId="12" fontId="46" fillId="0" borderId="14" xfId="0" applyNumberFormat="1" applyFont="1" applyFill="1" applyBorder="1" applyAlignment="1">
      <alignment horizontal="center" vertical="center"/>
    </xf>
    <xf numFmtId="0" fontId="46" fillId="0" borderId="14" xfId="0" applyFont="1" applyBorder="1" applyAlignment="1">
      <alignment horizontal="center" vertical="center" wrapText="1" shrinkToFit="1"/>
    </xf>
    <xf numFmtId="0" fontId="47" fillId="0" borderId="45" xfId="165" applyFont="1" applyFill="1" applyBorder="1" applyAlignment="1">
      <alignment horizontal="center" vertical="center" shrinkToFit="1"/>
    </xf>
    <xf numFmtId="0" fontId="46" fillId="0" borderId="14" xfId="0" applyFont="1" applyFill="1" applyBorder="1" applyAlignment="1">
      <alignment horizontal="center" vertical="center" shrinkToFit="1"/>
    </xf>
    <xf numFmtId="0" fontId="48" fillId="0" borderId="51" xfId="154" applyFont="1" applyFill="1" applyBorder="1" applyAlignment="1">
      <alignment horizontal="center" vertical="center" wrapText="1" shrinkToFit="1"/>
    </xf>
    <xf numFmtId="0" fontId="48" fillId="0" borderId="32" xfId="161" applyFont="1" applyFill="1" applyBorder="1" applyAlignment="1">
      <alignment horizontal="center" vertical="center" wrapText="1" shrinkToFit="1"/>
    </xf>
    <xf numFmtId="0" fontId="48" fillId="0" borderId="55" xfId="161" applyFont="1" applyFill="1" applyBorder="1" applyAlignment="1">
      <alignment horizontal="center" vertical="center" wrapText="1" shrinkToFit="1"/>
    </xf>
    <xf numFmtId="0" fontId="48" fillId="0" borderId="45" xfId="155" applyFont="1" applyFill="1" applyBorder="1" applyAlignment="1">
      <alignment horizontal="center" vertical="center" wrapText="1" shrinkToFit="1"/>
    </xf>
    <xf numFmtId="0" fontId="48" fillId="0" borderId="48" xfId="155" applyFont="1" applyFill="1" applyBorder="1" applyAlignment="1">
      <alignment horizontal="center" vertical="center" wrapText="1" shrinkToFit="1"/>
    </xf>
    <xf numFmtId="0" fontId="48" fillId="0" borderId="14" xfId="155" applyFont="1" applyFill="1" applyBorder="1" applyAlignment="1">
      <alignment horizontal="center" vertical="center" wrapText="1" shrinkToFit="1"/>
    </xf>
    <xf numFmtId="0" fontId="48" fillId="0" borderId="51" xfId="164" applyFont="1" applyFill="1" applyBorder="1" applyAlignment="1">
      <alignment horizontal="center" vertical="center" wrapText="1"/>
    </xf>
    <xf numFmtId="0" fontId="48" fillId="0" borderId="55" xfId="164" applyFont="1" applyFill="1" applyBorder="1" applyAlignment="1">
      <alignment horizontal="center" vertical="center" wrapText="1"/>
    </xf>
    <xf numFmtId="0" fontId="48" fillId="0" borderId="32" xfId="164" applyFont="1" applyFill="1" applyBorder="1" applyAlignment="1">
      <alignment horizontal="center" vertical="center" wrapText="1"/>
    </xf>
    <xf numFmtId="0" fontId="48" fillId="0" borderId="45" xfId="164" applyFont="1" applyFill="1" applyBorder="1" applyAlignment="1">
      <alignment horizontal="center" vertical="center" wrapText="1"/>
    </xf>
    <xf numFmtId="0" fontId="48" fillId="0" borderId="48" xfId="164" applyFont="1" applyFill="1" applyBorder="1" applyAlignment="1">
      <alignment horizontal="center" vertical="center" wrapText="1"/>
    </xf>
    <xf numFmtId="0" fontId="48" fillId="0" borderId="14" xfId="164" applyFont="1" applyFill="1" applyBorder="1" applyAlignment="1">
      <alignment horizontal="center" vertical="center" wrapText="1"/>
    </xf>
    <xf numFmtId="181" fontId="49" fillId="0" borderId="45" xfId="0" applyNumberFormat="1" applyFont="1" applyFill="1" applyBorder="1" applyAlignment="1">
      <alignment horizontal="center" vertical="center"/>
    </xf>
    <xf numFmtId="0" fontId="50" fillId="0" borderId="45" xfId="0" applyFont="1" applyBorder="1" applyAlignment="1">
      <alignment horizontal="center" vertical="center" wrapText="1" shrinkToFit="1"/>
    </xf>
    <xf numFmtId="181" fontId="49" fillId="0" borderId="48" xfId="0" applyNumberFormat="1" applyFont="1" applyFill="1" applyBorder="1" applyAlignment="1">
      <alignment horizontal="center" vertical="center"/>
    </xf>
    <xf numFmtId="0" fontId="50" fillId="0" borderId="48" xfId="0" applyFont="1" applyBorder="1" applyAlignment="1">
      <alignment horizontal="center" vertical="center" wrapText="1" shrinkToFit="1"/>
    </xf>
    <xf numFmtId="0" fontId="47" fillId="0" borderId="48" xfId="165" applyFont="1" applyFill="1" applyBorder="1" applyAlignment="1">
      <alignment horizontal="center" vertical="center" shrinkToFit="1"/>
    </xf>
    <xf numFmtId="0" fontId="52" fillId="0" borderId="45" xfId="154" applyFont="1" applyFill="1" applyBorder="1" applyAlignment="1">
      <alignment horizontal="center" vertical="center" wrapText="1" shrinkToFit="1"/>
    </xf>
    <xf numFmtId="0" fontId="52" fillId="0" borderId="48" xfId="155" applyFont="1" applyFill="1" applyBorder="1" applyAlignment="1">
      <alignment horizontal="center" vertical="center" wrapText="1" shrinkToFit="1"/>
    </xf>
    <xf numFmtId="0" fontId="41" fillId="0" borderId="55" xfId="154" applyFont="1" applyFill="1" applyBorder="1" applyAlignment="1">
      <alignment horizontal="center" vertical="center" wrapText="1" shrinkToFit="1"/>
    </xf>
    <xf numFmtId="0" fontId="47" fillId="0" borderId="55" xfId="111" applyFont="1" applyFill="1" applyBorder="1" applyAlignment="1">
      <alignment horizontal="center" vertical="center" shrinkToFit="1"/>
    </xf>
    <xf numFmtId="0" fontId="47" fillId="0" borderId="55" xfId="71" applyFont="1" applyFill="1" applyBorder="1" applyAlignment="1">
      <alignment horizontal="center" vertical="center"/>
    </xf>
    <xf numFmtId="0" fontId="41" fillId="0" borderId="55" xfId="164" applyFont="1" applyFill="1" applyBorder="1" applyAlignment="1">
      <alignment horizontal="center" vertical="center" wrapText="1"/>
    </xf>
    <xf numFmtId="177" fontId="46" fillId="0" borderId="55" xfId="0" applyNumberFormat="1" applyFont="1" applyFill="1" applyBorder="1" applyAlignment="1">
      <alignment horizontal="center" vertical="center"/>
    </xf>
    <xf numFmtId="0" fontId="47" fillId="0" borderId="32" xfId="160" applyFont="1" applyFill="1" applyBorder="1" applyAlignment="1">
      <alignment horizontal="center" vertical="center" wrapText="1" shrinkToFit="1"/>
    </xf>
    <xf numFmtId="0" fontId="47" fillId="0" borderId="32" xfId="111" applyFont="1" applyFill="1" applyBorder="1" applyAlignment="1">
      <alignment horizontal="center" vertical="center" shrinkToFit="1"/>
    </xf>
    <xf numFmtId="0" fontId="47" fillId="0" borderId="32" xfId="76" applyFont="1" applyFill="1" applyBorder="1" applyAlignment="1">
      <alignment horizontal="center" vertical="center"/>
    </xf>
    <xf numFmtId="0" fontId="47" fillId="0" borderId="32" xfId="164" applyFont="1" applyFill="1" applyBorder="1" applyAlignment="1">
      <alignment horizontal="center" vertical="center" wrapText="1"/>
    </xf>
    <xf numFmtId="177" fontId="46" fillId="0" borderId="32" xfId="0" applyNumberFormat="1" applyFont="1" applyFill="1" applyBorder="1" applyAlignment="1">
      <alignment horizontal="center" vertical="center"/>
    </xf>
    <xf numFmtId="0" fontId="51" fillId="0" borderId="45" xfId="111" applyFont="1" applyFill="1" applyBorder="1" applyAlignment="1">
      <alignment horizontal="center" vertical="center" shrinkToFit="1"/>
    </xf>
    <xf numFmtId="0" fontId="52" fillId="0" borderId="45" xfId="71" applyFont="1" applyFill="1" applyBorder="1" applyAlignment="1">
      <alignment horizontal="center" vertical="center"/>
    </xf>
    <xf numFmtId="0" fontId="52" fillId="0" borderId="45" xfId="154" applyFont="1" applyFill="1" applyBorder="1" applyAlignment="1">
      <alignment horizontal="center" vertical="center" wrapText="1"/>
    </xf>
    <xf numFmtId="177" fontId="53" fillId="0" borderId="45" xfId="0" applyNumberFormat="1" applyFont="1" applyFill="1" applyBorder="1" applyAlignment="1">
      <alignment horizontal="center" vertical="center"/>
    </xf>
    <xf numFmtId="0" fontId="51" fillId="0" borderId="48" xfId="111" applyFont="1" applyFill="1" applyBorder="1" applyAlignment="1">
      <alignment horizontal="center" vertical="center" shrinkToFit="1"/>
    </xf>
    <xf numFmtId="0" fontId="52" fillId="0" borderId="48" xfId="72" applyFont="1" applyFill="1" applyBorder="1" applyAlignment="1">
      <alignment horizontal="center" vertical="center"/>
    </xf>
    <xf numFmtId="0" fontId="52" fillId="0" borderId="48" xfId="154" applyFont="1" applyFill="1" applyBorder="1" applyAlignment="1">
      <alignment horizontal="center" vertical="center" wrapText="1"/>
    </xf>
    <xf numFmtId="177" fontId="52" fillId="0" borderId="48" xfId="111" applyNumberFormat="1" applyFont="1" applyFill="1" applyBorder="1" applyAlignment="1">
      <alignment horizontal="center" vertical="center"/>
    </xf>
    <xf numFmtId="49" fontId="41" fillId="0" borderId="45" xfId="164" applyNumberFormat="1" applyFont="1" applyFill="1" applyBorder="1" applyAlignment="1">
      <alignment horizontal="center" vertical="center" wrapText="1" shrinkToFit="1"/>
    </xf>
    <xf numFmtId="0" fontId="47" fillId="0" borderId="45" xfId="111" applyFont="1" applyFill="1" applyBorder="1" applyAlignment="1">
      <alignment horizontal="center" vertical="center" shrinkToFit="1"/>
    </xf>
    <xf numFmtId="0" fontId="47" fillId="0" borderId="45" xfId="81" applyFont="1" applyFill="1" applyBorder="1" applyAlignment="1">
      <alignment horizontal="center" vertical="center"/>
    </xf>
    <xf numFmtId="49" fontId="47" fillId="0" borderId="45" xfId="164" applyNumberFormat="1" applyFont="1" applyFill="1" applyBorder="1" applyAlignment="1">
      <alignment horizontal="center" vertical="center" wrapText="1"/>
    </xf>
    <xf numFmtId="177" fontId="46" fillId="0" borderId="45" xfId="0" applyNumberFormat="1" applyFont="1" applyFill="1" applyBorder="1" applyAlignment="1">
      <alignment horizontal="center" vertical="center"/>
    </xf>
    <xf numFmtId="49" fontId="41" fillId="0" borderId="48" xfId="164" applyNumberFormat="1" applyFont="1" applyFill="1" applyBorder="1" applyAlignment="1">
      <alignment horizontal="center" vertical="center" wrapText="1" shrinkToFit="1"/>
    </xf>
    <xf numFmtId="0" fontId="47" fillId="0" borderId="48" xfId="111" applyFont="1" applyFill="1" applyBorder="1" applyAlignment="1">
      <alignment horizontal="center" vertical="center" shrinkToFit="1"/>
    </xf>
    <xf numFmtId="0" fontId="47" fillId="0" borderId="48" xfId="81" applyFont="1" applyFill="1" applyBorder="1" applyAlignment="1">
      <alignment horizontal="center" vertical="center"/>
    </xf>
    <xf numFmtId="49" fontId="41" fillId="0" borderId="48" xfId="164" applyNumberFormat="1" applyFont="1" applyFill="1" applyBorder="1" applyAlignment="1">
      <alignment horizontal="center" vertical="center" wrapText="1"/>
    </xf>
    <xf numFmtId="177" fontId="46" fillId="0" borderId="48" xfId="0" applyNumberFormat="1" applyFont="1" applyFill="1" applyBorder="1" applyAlignment="1">
      <alignment horizontal="center" vertical="center"/>
    </xf>
    <xf numFmtId="0" fontId="7" fillId="7" borderId="5" xfId="0" applyFont="1" applyFill="1" applyBorder="1" applyAlignment="1">
      <alignment horizontal="center" vertical="center" shrinkToFit="1"/>
    </xf>
    <xf numFmtId="0" fontId="7" fillId="7" borderId="27"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7" fillId="7" borderId="29"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22" xfId="0" applyFont="1" applyFill="1" applyBorder="1" applyAlignment="1">
      <alignment horizontal="center" vertical="center" shrinkToFit="1"/>
    </xf>
    <xf numFmtId="176" fontId="7" fillId="7" borderId="5" xfId="0" applyNumberFormat="1" applyFont="1" applyFill="1" applyBorder="1" applyAlignment="1">
      <alignment horizontal="center" vertical="center" shrinkToFit="1"/>
    </xf>
    <xf numFmtId="0" fontId="5" fillId="0" borderId="0"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horizontal="left" vertical="center"/>
    </xf>
    <xf numFmtId="0" fontId="7" fillId="7" borderId="24" xfId="0" applyFont="1" applyFill="1" applyBorder="1" applyAlignment="1">
      <alignment horizontal="center" vertical="center" shrinkToFit="1"/>
    </xf>
    <xf numFmtId="0" fontId="7" fillId="7" borderId="25" xfId="0" applyFont="1" applyFill="1" applyBorder="1" applyAlignment="1">
      <alignment horizontal="center" vertical="center" shrinkToFit="1"/>
    </xf>
    <xf numFmtId="0" fontId="7" fillId="7" borderId="26" xfId="0" applyFont="1" applyFill="1" applyBorder="1" applyAlignment="1">
      <alignment horizontal="center" vertical="center" shrinkToFit="1"/>
    </xf>
    <xf numFmtId="0" fontId="7" fillId="7" borderId="6" xfId="0" applyFont="1" applyFill="1" applyBorder="1" applyAlignment="1">
      <alignment horizontal="center" vertical="center" wrapText="1" shrinkToFit="1"/>
    </xf>
    <xf numFmtId="0" fontId="7" fillId="7" borderId="6" xfId="0" applyFont="1" applyFill="1" applyBorder="1" applyAlignment="1">
      <alignment horizontal="center" vertical="center" shrinkToFit="1"/>
    </xf>
    <xf numFmtId="0" fontId="7" fillId="7" borderId="28" xfId="0" applyFont="1" applyFill="1" applyBorder="1" applyAlignment="1">
      <alignment horizontal="center" vertical="center" shrinkToFit="1"/>
    </xf>
    <xf numFmtId="177" fontId="7" fillId="7" borderId="5" xfId="0" applyNumberFormat="1" applyFont="1" applyFill="1" applyBorder="1" applyAlignment="1">
      <alignment horizontal="center" vertical="center" wrapText="1" shrinkToFit="1"/>
    </xf>
    <xf numFmtId="177" fontId="7" fillId="7" borderId="5" xfId="0" applyNumberFormat="1" applyFont="1" applyFill="1" applyBorder="1" applyAlignment="1">
      <alignment horizontal="center" vertical="center" shrinkToFit="1"/>
    </xf>
    <xf numFmtId="177" fontId="7" fillId="7" borderId="27" xfId="0" applyNumberFormat="1" applyFont="1" applyFill="1" applyBorder="1" applyAlignment="1">
      <alignment horizontal="center" vertical="center" shrinkToFit="1"/>
    </xf>
    <xf numFmtId="176" fontId="7" fillId="7" borderId="5" xfId="0" applyNumberFormat="1" applyFont="1" applyFill="1" applyBorder="1" applyAlignment="1">
      <alignment horizontal="center" vertical="center" wrapText="1" shrinkToFit="1"/>
    </xf>
    <xf numFmtId="176" fontId="7" fillId="7" borderId="27" xfId="0" applyNumberFormat="1" applyFont="1" applyFill="1" applyBorder="1" applyAlignment="1">
      <alignment horizontal="center" vertical="center" shrinkToFit="1"/>
    </xf>
    <xf numFmtId="0" fontId="7" fillId="7" borderId="30" xfId="0" applyFont="1" applyFill="1" applyBorder="1" applyAlignment="1">
      <alignment horizontal="center" vertical="center" shrinkToFit="1"/>
    </xf>
    <xf numFmtId="0" fontId="42" fillId="0" borderId="46" xfId="0" applyFont="1" applyFill="1" applyBorder="1" applyAlignment="1">
      <alignment horizontal="center" vertical="center" wrapText="1" shrinkToFit="1"/>
    </xf>
    <xf numFmtId="0" fontId="42" fillId="0" borderId="43" xfId="0" applyFont="1" applyFill="1" applyBorder="1" applyAlignment="1">
      <alignment horizontal="center" vertical="center" shrinkToFit="1"/>
    </xf>
    <xf numFmtId="0" fontId="42" fillId="0" borderId="45" xfId="0" applyFont="1" applyFill="1" applyBorder="1" applyAlignment="1">
      <alignment horizontal="center" vertical="center" wrapText="1" shrinkToFit="1"/>
    </xf>
    <xf numFmtId="0" fontId="42" fillId="0" borderId="31" xfId="0" applyFont="1" applyFill="1" applyBorder="1" applyAlignment="1">
      <alignment horizontal="center" vertical="center" shrinkToFit="1"/>
    </xf>
    <xf numFmtId="0" fontId="43" fillId="0" borderId="59" xfId="0" applyFont="1" applyFill="1" applyBorder="1" applyAlignment="1">
      <alignment horizontal="center" vertical="center" wrapText="1"/>
    </xf>
    <xf numFmtId="0" fontId="43" fillId="0" borderId="60" xfId="0" applyFont="1" applyFill="1" applyBorder="1" applyAlignment="1">
      <alignment horizontal="center" vertical="center" wrapText="1"/>
    </xf>
    <xf numFmtId="0" fontId="38" fillId="0" borderId="0" xfId="0" applyFont="1" applyBorder="1" applyAlignment="1">
      <alignment horizontal="center" vertical="center"/>
    </xf>
    <xf numFmtId="0" fontId="39" fillId="0" borderId="0" xfId="0" applyFont="1" applyBorder="1">
      <alignment vertical="center"/>
    </xf>
    <xf numFmtId="0" fontId="39" fillId="0" borderId="0" xfId="0" applyFont="1" applyBorder="1" applyAlignment="1">
      <alignment horizontal="left" vertical="center"/>
    </xf>
    <xf numFmtId="0" fontId="42" fillId="0" borderId="44" xfId="0" applyFont="1" applyFill="1" applyBorder="1" applyAlignment="1">
      <alignment horizontal="center" vertical="center" wrapText="1" shrinkToFit="1"/>
    </xf>
    <xf numFmtId="0" fontId="42" fillId="0" borderId="47" xfId="0" applyFont="1" applyFill="1" applyBorder="1" applyAlignment="1">
      <alignment horizontal="center" vertical="center" shrinkToFit="1"/>
    </xf>
    <xf numFmtId="0" fontId="42" fillId="0" borderId="31" xfId="0" applyFont="1" applyFill="1" applyBorder="1" applyAlignment="1">
      <alignment horizontal="center" vertical="center" wrapText="1" shrinkToFit="1"/>
    </xf>
    <xf numFmtId="176" fontId="46" fillId="0" borderId="32" xfId="0" applyNumberFormat="1" applyFont="1" applyFill="1" applyBorder="1" applyAlignment="1">
      <alignment horizontal="center" vertical="center" shrinkToFit="1"/>
    </xf>
    <xf numFmtId="176" fontId="46" fillId="0" borderId="51" xfId="0" applyNumberFormat="1" applyFont="1" applyFill="1" applyBorder="1" applyAlignment="1">
      <alignment horizontal="center" vertical="center" shrinkToFit="1"/>
    </xf>
    <xf numFmtId="176" fontId="46" fillId="0" borderId="55" xfId="0" applyNumberFormat="1" applyFont="1" applyFill="1" applyBorder="1" applyAlignment="1">
      <alignment horizontal="center" vertical="center" shrinkToFit="1"/>
    </xf>
    <xf numFmtId="176" fontId="46" fillId="0" borderId="45" xfId="123" applyNumberFormat="1" applyFont="1" applyFill="1" applyBorder="1" applyAlignment="1">
      <alignment horizontal="center" vertical="center" shrinkToFit="1"/>
    </xf>
    <xf numFmtId="176" fontId="46" fillId="0" borderId="48" xfId="123" applyNumberFormat="1" applyFont="1" applyFill="1" applyBorder="1" applyAlignment="1">
      <alignment horizontal="center" vertical="center" shrinkToFit="1"/>
    </xf>
    <xf numFmtId="176" fontId="46" fillId="0" borderId="45" xfId="0" applyNumberFormat="1" applyFont="1" applyFill="1" applyBorder="1" applyAlignment="1">
      <alignment horizontal="center" vertical="center" shrinkToFit="1"/>
    </xf>
    <xf numFmtId="176" fontId="46" fillId="0" borderId="48" xfId="0" applyNumberFormat="1" applyFont="1" applyFill="1" applyBorder="1" applyAlignment="1">
      <alignment horizontal="center" vertical="center" shrinkToFit="1"/>
    </xf>
    <xf numFmtId="176" fontId="46" fillId="0" borderId="14" xfId="0" applyNumberFormat="1" applyFont="1" applyFill="1" applyBorder="1" applyAlignment="1">
      <alignment horizontal="center" vertical="center" shrinkToFit="1"/>
    </xf>
    <xf numFmtId="0" fontId="0" fillId="0" borderId="0" xfId="0" applyFont="1" applyAlignment="1">
      <alignment horizontal="center" vertical="center"/>
    </xf>
    <xf numFmtId="182" fontId="54" fillId="0" borderId="51" xfId="0" applyNumberFormat="1" applyFont="1" applyFill="1" applyBorder="1" applyAlignment="1">
      <alignment horizontal="right" vertical="center" wrapText="1" indent="2"/>
    </xf>
    <xf numFmtId="176" fontId="54" fillId="0" borderId="51" xfId="0" applyNumberFormat="1" applyFont="1" applyFill="1" applyBorder="1" applyAlignment="1">
      <alignment horizontal="right" vertical="center" wrapText="1" indent="2"/>
    </xf>
    <xf numFmtId="183" fontId="55" fillId="0" borderId="51" xfId="0" applyNumberFormat="1" applyFont="1" applyFill="1" applyBorder="1" applyAlignment="1">
      <alignment horizontal="right" vertical="center"/>
    </xf>
    <xf numFmtId="41" fontId="55" fillId="0" borderId="51" xfId="252" applyFont="1" applyFill="1" applyBorder="1" applyAlignment="1">
      <alignment horizontal="right" vertical="center"/>
    </xf>
    <xf numFmtId="179" fontId="56" fillId="0" borderId="51" xfId="1" applyNumberFormat="1" applyFont="1" applyFill="1" applyBorder="1" applyAlignment="1">
      <alignment horizontal="center" vertical="center"/>
    </xf>
    <xf numFmtId="182" fontId="54" fillId="0" borderId="55" xfId="0" applyNumberFormat="1" applyFont="1" applyFill="1" applyBorder="1" applyAlignment="1">
      <alignment horizontal="right" vertical="center" wrapText="1" indent="2"/>
    </xf>
    <xf numFmtId="176" fontId="54" fillId="0" borderId="55" xfId="0" applyNumberFormat="1" applyFont="1" applyFill="1" applyBorder="1" applyAlignment="1">
      <alignment horizontal="right" vertical="center" wrapText="1" indent="2"/>
    </xf>
    <xf numFmtId="183" fontId="55" fillId="0" borderId="55" xfId="0" applyNumberFormat="1" applyFont="1" applyFill="1" applyBorder="1" applyAlignment="1">
      <alignment horizontal="right" vertical="center"/>
    </xf>
    <xf numFmtId="41" fontId="55" fillId="0" borderId="55" xfId="252" applyFont="1" applyFill="1" applyBorder="1" applyAlignment="1">
      <alignment horizontal="right" vertical="center"/>
    </xf>
    <xf numFmtId="179" fontId="56" fillId="0" borderId="55" xfId="1" applyNumberFormat="1" applyFont="1" applyFill="1" applyBorder="1" applyAlignment="1">
      <alignment horizontal="center" vertical="center"/>
    </xf>
    <xf numFmtId="182" fontId="54" fillId="0" borderId="32" xfId="0" applyNumberFormat="1" applyFont="1" applyFill="1" applyBorder="1" applyAlignment="1">
      <alignment horizontal="right" vertical="center" wrapText="1" indent="2"/>
    </xf>
    <xf numFmtId="176" fontId="54" fillId="0" borderId="32" xfId="0" applyNumberFormat="1" applyFont="1" applyFill="1" applyBorder="1" applyAlignment="1">
      <alignment horizontal="right" vertical="center" wrapText="1" indent="2"/>
    </xf>
    <xf numFmtId="183" fontId="55" fillId="0" borderId="32" xfId="0" applyNumberFormat="1" applyFont="1" applyFill="1" applyBorder="1" applyAlignment="1">
      <alignment horizontal="right" vertical="center"/>
    </xf>
    <xf numFmtId="41" fontId="55" fillId="0" borderId="32" xfId="252" applyFont="1" applyFill="1" applyBorder="1" applyAlignment="1">
      <alignment horizontal="right" vertical="center"/>
    </xf>
    <xf numFmtId="179" fontId="56" fillId="0" borderId="32" xfId="1" applyNumberFormat="1" applyFont="1" applyFill="1" applyBorder="1" applyAlignment="1">
      <alignment horizontal="center" vertical="center"/>
    </xf>
    <xf numFmtId="182" fontId="57" fillId="0" borderId="45" xfId="0" applyNumberFormat="1" applyFont="1" applyFill="1" applyBorder="1" applyAlignment="1">
      <alignment horizontal="right" vertical="center" wrapText="1" indent="2"/>
    </xf>
    <xf numFmtId="176" fontId="57" fillId="0" borderId="45" xfId="0" applyNumberFormat="1" applyFont="1" applyFill="1" applyBorder="1" applyAlignment="1">
      <alignment horizontal="right" vertical="center" wrapText="1" indent="2"/>
    </xf>
    <xf numFmtId="183" fontId="58" fillId="0" borderId="45" xfId="0" applyNumberFormat="1" applyFont="1" applyFill="1" applyBorder="1" applyAlignment="1">
      <alignment horizontal="right" vertical="center"/>
    </xf>
    <xf numFmtId="41" fontId="58" fillId="0" borderId="45" xfId="252" applyFont="1" applyFill="1" applyBorder="1" applyAlignment="1">
      <alignment horizontal="right" vertical="center"/>
    </xf>
    <xf numFmtId="179" fontId="58" fillId="0" borderId="45" xfId="1" applyNumberFormat="1" applyFont="1" applyFill="1" applyBorder="1" applyAlignment="1">
      <alignment horizontal="center" vertical="center"/>
    </xf>
    <xf numFmtId="182" fontId="57" fillId="0" borderId="48" xfId="0" applyNumberFormat="1" applyFont="1" applyFill="1" applyBorder="1" applyAlignment="1">
      <alignment horizontal="right" vertical="center" wrapText="1" indent="2"/>
    </xf>
    <xf numFmtId="176" fontId="57" fillId="0" borderId="48" xfId="0" applyNumberFormat="1" applyFont="1" applyFill="1" applyBorder="1" applyAlignment="1">
      <alignment horizontal="right" vertical="center" wrapText="1" indent="2"/>
    </xf>
    <xf numFmtId="183" fontId="58" fillId="0" borderId="48" xfId="0" applyNumberFormat="1" applyFont="1" applyFill="1" applyBorder="1" applyAlignment="1">
      <alignment horizontal="right" vertical="center"/>
    </xf>
    <xf numFmtId="41" fontId="58" fillId="0" borderId="48" xfId="252" applyFont="1" applyFill="1" applyBorder="1" applyAlignment="1">
      <alignment horizontal="right" vertical="center"/>
    </xf>
    <xf numFmtId="179" fontId="58" fillId="0" borderId="48" xfId="1" applyNumberFormat="1" applyFont="1" applyFill="1" applyBorder="1" applyAlignment="1">
      <alignment horizontal="center" vertical="center"/>
    </xf>
    <xf numFmtId="182" fontId="54" fillId="0" borderId="45" xfId="0" applyNumberFormat="1" applyFont="1" applyFill="1" applyBorder="1" applyAlignment="1">
      <alignment horizontal="right" vertical="center" wrapText="1" indent="2"/>
    </xf>
    <xf numFmtId="176" fontId="54" fillId="0" borderId="45" xfId="0" applyNumberFormat="1" applyFont="1" applyFill="1" applyBorder="1" applyAlignment="1">
      <alignment horizontal="right" vertical="center" wrapText="1" indent="2"/>
    </xf>
    <xf numFmtId="183" fontId="55" fillId="0" borderId="45" xfId="0" applyNumberFormat="1" applyFont="1" applyFill="1" applyBorder="1" applyAlignment="1">
      <alignment horizontal="right" vertical="center"/>
    </xf>
    <xf numFmtId="41" fontId="55" fillId="0" borderId="45" xfId="252" applyFont="1" applyFill="1" applyBorder="1" applyAlignment="1">
      <alignment horizontal="right" vertical="center"/>
    </xf>
    <xf numFmtId="179" fontId="55" fillId="0" borderId="45" xfId="1" applyNumberFormat="1" applyFont="1" applyFill="1" applyBorder="1" applyAlignment="1">
      <alignment horizontal="center" vertical="center"/>
    </xf>
    <xf numFmtId="182" fontId="54" fillId="0" borderId="48" xfId="0" applyNumberFormat="1" applyFont="1" applyFill="1" applyBorder="1" applyAlignment="1">
      <alignment horizontal="right" vertical="center" wrapText="1" indent="2"/>
    </xf>
    <xf numFmtId="176" fontId="54" fillId="0" borderId="48" xfId="0" applyNumberFormat="1" applyFont="1" applyFill="1" applyBorder="1" applyAlignment="1">
      <alignment horizontal="right" vertical="center" wrapText="1" indent="2"/>
    </xf>
    <xf numFmtId="183" fontId="55" fillId="0" borderId="48" xfId="0" applyNumberFormat="1" applyFont="1" applyFill="1" applyBorder="1" applyAlignment="1">
      <alignment horizontal="right" vertical="center"/>
    </xf>
    <xf numFmtId="41" fontId="55" fillId="0" borderId="48" xfId="252" applyFont="1" applyFill="1" applyBorder="1" applyAlignment="1">
      <alignment horizontal="right" vertical="center"/>
    </xf>
    <xf numFmtId="179" fontId="55" fillId="0" borderId="48" xfId="1" applyNumberFormat="1" applyFont="1" applyFill="1" applyBorder="1" applyAlignment="1">
      <alignment horizontal="center" vertical="center"/>
    </xf>
    <xf numFmtId="179" fontId="55" fillId="0" borderId="55" xfId="1" applyNumberFormat="1" applyFont="1" applyFill="1" applyBorder="1" applyAlignment="1">
      <alignment horizontal="center" vertical="center"/>
    </xf>
    <xf numFmtId="179" fontId="55" fillId="0" borderId="32" xfId="1" applyNumberFormat="1" applyFont="1" applyFill="1" applyBorder="1" applyAlignment="1">
      <alignment horizontal="center" vertical="center"/>
    </xf>
    <xf numFmtId="182" fontId="54" fillId="0" borderId="14" xfId="0" applyNumberFormat="1" applyFont="1" applyFill="1" applyBorder="1" applyAlignment="1">
      <alignment horizontal="right" vertical="center" wrapText="1" indent="2"/>
    </xf>
    <xf numFmtId="176" fontId="54" fillId="0" borderId="14" xfId="0" applyNumberFormat="1" applyFont="1" applyFill="1" applyBorder="1" applyAlignment="1">
      <alignment horizontal="right" vertical="center" wrapText="1" indent="2"/>
    </xf>
    <xf numFmtId="183" fontId="55" fillId="0" borderId="14" xfId="0" applyNumberFormat="1" applyFont="1" applyFill="1" applyBorder="1" applyAlignment="1">
      <alignment horizontal="right" vertical="center"/>
    </xf>
    <xf numFmtId="41" fontId="55" fillId="0" borderId="14" xfId="252" applyFont="1" applyFill="1" applyBorder="1" applyAlignment="1">
      <alignment horizontal="right" vertical="center"/>
    </xf>
    <xf numFmtId="179" fontId="55" fillId="0" borderId="14" xfId="1" applyNumberFormat="1" applyFont="1" applyFill="1" applyBorder="1" applyAlignment="1">
      <alignment horizontal="center" vertical="center"/>
    </xf>
    <xf numFmtId="176" fontId="53" fillId="0" borderId="45" xfId="0" applyNumberFormat="1" applyFont="1" applyFill="1" applyBorder="1" applyAlignment="1">
      <alignment horizontal="center" vertical="center" shrinkToFit="1"/>
    </xf>
    <xf numFmtId="176" fontId="53" fillId="0" borderId="48" xfId="0" applyNumberFormat="1" applyFont="1" applyFill="1" applyBorder="1" applyAlignment="1">
      <alignment horizontal="center" vertical="center" shrinkToFit="1"/>
    </xf>
  </cellXfs>
  <cellStyles count="253">
    <cellStyle name="20% - 강조색1" xfId="227" builtinId="30" customBuiltin="1"/>
    <cellStyle name="20% - 강조색2" xfId="231" builtinId="34" customBuiltin="1"/>
    <cellStyle name="20% - 강조색3" xfId="235" builtinId="38" customBuiltin="1"/>
    <cellStyle name="20% - 강조색4" xfId="239" builtinId="42" customBuiltin="1"/>
    <cellStyle name="20% - 강조색5" xfId="243" builtinId="46" customBuiltin="1"/>
    <cellStyle name="20% - 강조색6" xfId="247" builtinId="50" customBuiltin="1"/>
    <cellStyle name="40% - 강조색1" xfId="228" builtinId="31" customBuiltin="1"/>
    <cellStyle name="40% - 강조색2" xfId="232" builtinId="35" customBuiltin="1"/>
    <cellStyle name="40% - 강조색3" xfId="236" builtinId="39" customBuiltin="1"/>
    <cellStyle name="40% - 강조색4" xfId="240" builtinId="43" customBuiltin="1"/>
    <cellStyle name="40% - 강조색5" xfId="244" builtinId="47" customBuiltin="1"/>
    <cellStyle name="40% - 강조색6" xfId="248" builtinId="51" customBuiltin="1"/>
    <cellStyle name="60% - 강조색1" xfId="229" builtinId="32" customBuiltin="1"/>
    <cellStyle name="60% - 강조색2" xfId="233" builtinId="36" customBuiltin="1"/>
    <cellStyle name="60% - 강조색3" xfId="237" builtinId="40" customBuiltin="1"/>
    <cellStyle name="60% - 강조색4" xfId="241" builtinId="44" customBuiltin="1"/>
    <cellStyle name="60% - 강조색5" xfId="245" builtinId="48" customBuiltin="1"/>
    <cellStyle name="60% - 강조색6" xfId="249" builtinId="52" customBuiltin="1"/>
    <cellStyle name="강조색1" xfId="226" builtinId="29" customBuiltin="1"/>
    <cellStyle name="강조색2" xfId="230" builtinId="33" customBuiltin="1"/>
    <cellStyle name="강조색3" xfId="234" builtinId="37" customBuiltin="1"/>
    <cellStyle name="강조색4" xfId="238" builtinId="41" customBuiltin="1"/>
    <cellStyle name="강조색5" xfId="242" builtinId="45" customBuiltin="1"/>
    <cellStyle name="강조색6" xfId="246" builtinId="49" customBuiltin="1"/>
    <cellStyle name="경고문" xfId="223" builtinId="11" customBuiltin="1"/>
    <cellStyle name="계산" xfId="220" builtinId="22" customBuiltin="1"/>
    <cellStyle name="나쁨" xfId="216" builtinId="27" customBuiltin="1"/>
    <cellStyle name="메모 2" xfId="251"/>
    <cellStyle name="보통" xfId="217" builtinId="28" customBuiltin="1"/>
    <cellStyle name="설명 텍스트" xfId="224" builtinId="53" customBuiltin="1"/>
    <cellStyle name="셀 확인" xfId="222" builtinId="23" customBuiltin="1"/>
    <cellStyle name="쉼표 [0]" xfId="252" builtinId="6"/>
    <cellStyle name="연결된 셀" xfId="221" builtinId="24" customBuiltin="1"/>
    <cellStyle name="요약" xfId="225" builtinId="25" customBuiltin="1"/>
    <cellStyle name="입력" xfId="218" builtinId="20" customBuiltin="1"/>
    <cellStyle name="제목" xfId="210" builtinId="15" customBuiltin="1"/>
    <cellStyle name="제목 1" xfId="211" builtinId="16" customBuiltin="1"/>
    <cellStyle name="제목 2" xfId="212" builtinId="17" customBuiltin="1"/>
    <cellStyle name="제목 3" xfId="213" builtinId="18" customBuiltin="1"/>
    <cellStyle name="제목 4" xfId="214" builtinId="19" customBuiltin="1"/>
    <cellStyle name="좋음" xfId="215" builtinId="26" customBuiltin="1"/>
    <cellStyle name="출력" xfId="219" builtinId="21" customBuiltin="1"/>
    <cellStyle name="통화 [0]" xfId="1" builtinId="7"/>
    <cellStyle name="표준" xfId="0" builtinId="0"/>
    <cellStyle name="표준 10" xfId="2"/>
    <cellStyle name="표준 100" xfId="3"/>
    <cellStyle name="표준 101" xfId="4"/>
    <cellStyle name="표준 102" xfId="5"/>
    <cellStyle name="표준 103" xfId="6"/>
    <cellStyle name="표준 104" xfId="7"/>
    <cellStyle name="표준 105" xfId="8"/>
    <cellStyle name="표준 106" xfId="9"/>
    <cellStyle name="표준 107" xfId="10"/>
    <cellStyle name="표준 108" xfId="11"/>
    <cellStyle name="표준 109" xfId="12"/>
    <cellStyle name="표준 11" xfId="13"/>
    <cellStyle name="표준 110" xfId="14"/>
    <cellStyle name="표준 111" xfId="15"/>
    <cellStyle name="표준 112" xfId="16"/>
    <cellStyle name="표준 113" xfId="17"/>
    <cellStyle name="표준 114" xfId="18"/>
    <cellStyle name="표준 115" xfId="19"/>
    <cellStyle name="표준 116" xfId="20"/>
    <cellStyle name="표준 117" xfId="21"/>
    <cellStyle name="표준 118" xfId="22"/>
    <cellStyle name="표준 119" xfId="23"/>
    <cellStyle name="표준 12" xfId="24"/>
    <cellStyle name="표준 120" xfId="25"/>
    <cellStyle name="표준 121" xfId="26"/>
    <cellStyle name="표준 122" xfId="27"/>
    <cellStyle name="표준 123" xfId="28"/>
    <cellStyle name="표준 124" xfId="29"/>
    <cellStyle name="표준 125" xfId="30"/>
    <cellStyle name="표준 126" xfId="31"/>
    <cellStyle name="표준 127" xfId="32"/>
    <cellStyle name="표준 128" xfId="33"/>
    <cellStyle name="표준 129" xfId="34"/>
    <cellStyle name="표준 13" xfId="35"/>
    <cellStyle name="표준 130" xfId="36"/>
    <cellStyle name="표준 131" xfId="37"/>
    <cellStyle name="표준 132" xfId="38"/>
    <cellStyle name="표준 133" xfId="39"/>
    <cellStyle name="표준 134" xfId="40"/>
    <cellStyle name="표준 135" xfId="41"/>
    <cellStyle name="표준 136" xfId="42"/>
    <cellStyle name="표준 137" xfId="43"/>
    <cellStyle name="표준 138" xfId="44"/>
    <cellStyle name="표준 139" xfId="45"/>
    <cellStyle name="표준 14" xfId="46"/>
    <cellStyle name="표준 140" xfId="47"/>
    <cellStyle name="표준 141" xfId="48"/>
    <cellStyle name="표준 142" xfId="49"/>
    <cellStyle name="표준 143" xfId="50"/>
    <cellStyle name="표준 144" xfId="51"/>
    <cellStyle name="표준 145" xfId="52"/>
    <cellStyle name="표준 146" xfId="53"/>
    <cellStyle name="표준 147" xfId="54"/>
    <cellStyle name="표준 148" xfId="55"/>
    <cellStyle name="표준 149" xfId="56"/>
    <cellStyle name="표준 15" xfId="57"/>
    <cellStyle name="표준 150" xfId="58"/>
    <cellStyle name="표준 151" xfId="59"/>
    <cellStyle name="표준 152" xfId="60"/>
    <cellStyle name="표준 153" xfId="61"/>
    <cellStyle name="표준 154" xfId="62"/>
    <cellStyle name="표준 155" xfId="63"/>
    <cellStyle name="표준 156" xfId="64"/>
    <cellStyle name="표준 157" xfId="65"/>
    <cellStyle name="표준 158" xfId="66"/>
    <cellStyle name="표준 159" xfId="67"/>
    <cellStyle name="표준 16" xfId="68"/>
    <cellStyle name="표준 160" xfId="69"/>
    <cellStyle name="표준 161" xfId="70"/>
    <cellStyle name="표준 162" xfId="71"/>
    <cellStyle name="표준 163" xfId="72"/>
    <cellStyle name="표준 164" xfId="73"/>
    <cellStyle name="표준 165" xfId="74"/>
    <cellStyle name="표준 166" xfId="75"/>
    <cellStyle name="표준 167" xfId="76"/>
    <cellStyle name="표준 168" xfId="77"/>
    <cellStyle name="표준 169" xfId="78"/>
    <cellStyle name="표준 17" xfId="79"/>
    <cellStyle name="표준 170" xfId="80"/>
    <cellStyle name="표준 171" xfId="81"/>
    <cellStyle name="표준 172" xfId="82"/>
    <cellStyle name="표준 174" xfId="83"/>
    <cellStyle name="표준 175" xfId="84"/>
    <cellStyle name="표준 176" xfId="85"/>
    <cellStyle name="표준 177" xfId="86"/>
    <cellStyle name="표준 178" xfId="87"/>
    <cellStyle name="표준 179" xfId="88"/>
    <cellStyle name="표준 18" xfId="89"/>
    <cellStyle name="표준 180" xfId="90"/>
    <cellStyle name="표준 181" xfId="91"/>
    <cellStyle name="표준 182" xfId="92"/>
    <cellStyle name="표준 183" xfId="93"/>
    <cellStyle name="표준 184" xfId="94"/>
    <cellStyle name="표준 185" xfId="95"/>
    <cellStyle name="표준 186" xfId="96"/>
    <cellStyle name="표준 187" xfId="97"/>
    <cellStyle name="표준 188" xfId="98"/>
    <cellStyle name="표준 189" xfId="99"/>
    <cellStyle name="표준 19" xfId="100"/>
    <cellStyle name="표준 190" xfId="101"/>
    <cellStyle name="표준 191" xfId="102"/>
    <cellStyle name="표준 192" xfId="103"/>
    <cellStyle name="표준 193" xfId="104"/>
    <cellStyle name="표준 194" xfId="105"/>
    <cellStyle name="표준 195" xfId="106"/>
    <cellStyle name="표준 196" xfId="107"/>
    <cellStyle name="표준 197" xfId="108"/>
    <cellStyle name="표준 198" xfId="109"/>
    <cellStyle name="표준 199" xfId="110"/>
    <cellStyle name="표준 2" xfId="111"/>
    <cellStyle name="표준 2 2" xfId="206"/>
    <cellStyle name="표준 2 2 2" xfId="208"/>
    <cellStyle name="표준 2 2 3" xfId="207"/>
    <cellStyle name="표준 2 3" xfId="209"/>
    <cellStyle name="표준 20" xfId="112"/>
    <cellStyle name="표준 200" xfId="113"/>
    <cellStyle name="표준 201" xfId="114"/>
    <cellStyle name="표준 202" xfId="115"/>
    <cellStyle name="표준 203" xfId="116"/>
    <cellStyle name="표준 204" xfId="117"/>
    <cellStyle name="표준 205" xfId="118"/>
    <cellStyle name="표준 206" xfId="119"/>
    <cellStyle name="표준 207" xfId="120"/>
    <cellStyle name="표준 208" xfId="121"/>
    <cellStyle name="표준 209" xfId="122"/>
    <cellStyle name="표준 21" xfId="123"/>
    <cellStyle name="표준 210" xfId="124"/>
    <cellStyle name="표준 211" xfId="125"/>
    <cellStyle name="표준 212" xfId="126"/>
    <cellStyle name="표준 213" xfId="127"/>
    <cellStyle name="표준 214" xfId="128"/>
    <cellStyle name="표준 215" xfId="129"/>
    <cellStyle name="표준 216" xfId="130"/>
    <cellStyle name="표준 217" xfId="131"/>
    <cellStyle name="표준 218" xfId="132"/>
    <cellStyle name="표준 219" xfId="133"/>
    <cellStyle name="표준 22" xfId="250"/>
    <cellStyle name="표준 220" xfId="134"/>
    <cellStyle name="표준 221" xfId="135"/>
    <cellStyle name="표준 222" xfId="136"/>
    <cellStyle name="표준 223" xfId="137"/>
    <cellStyle name="표준 224" xfId="138"/>
    <cellStyle name="표준 225" xfId="139"/>
    <cellStyle name="표준 226" xfId="140"/>
    <cellStyle name="표준 227" xfId="141"/>
    <cellStyle name="표준 228" xfId="142"/>
    <cellStyle name="표준 229" xfId="143"/>
    <cellStyle name="표준 230" xfId="144"/>
    <cellStyle name="표준 231" xfId="145"/>
    <cellStyle name="표준 232" xfId="146"/>
    <cellStyle name="표준 233" xfId="147"/>
    <cellStyle name="표준 234" xfId="148"/>
    <cellStyle name="표준 235" xfId="149"/>
    <cellStyle name="표준 238" xfId="150"/>
    <cellStyle name="표준 239" xfId="151"/>
    <cellStyle name="표준 240" xfId="152"/>
    <cellStyle name="표준 3" xfId="153"/>
    <cellStyle name="표준 37" xfId="154"/>
    <cellStyle name="표준 38" xfId="155"/>
    <cellStyle name="표준 39" xfId="156"/>
    <cellStyle name="표준 4" xfId="157"/>
    <cellStyle name="표준 40" xfId="158"/>
    <cellStyle name="표준 41" xfId="159"/>
    <cellStyle name="표준 42" xfId="160"/>
    <cellStyle name="표준 43" xfId="161"/>
    <cellStyle name="표준 44" xfId="162"/>
    <cellStyle name="표준 45" xfId="163"/>
    <cellStyle name="표준 46" xfId="164"/>
    <cellStyle name="표준 47" xfId="165"/>
    <cellStyle name="표준 48" xfId="166"/>
    <cellStyle name="표준 49" xfId="167"/>
    <cellStyle name="표준 5" xfId="168"/>
    <cellStyle name="표준 50" xfId="169"/>
    <cellStyle name="표준 51" xfId="170"/>
    <cellStyle name="표준 52" xfId="171"/>
    <cellStyle name="표준 53" xfId="172"/>
    <cellStyle name="표준 54" xfId="173"/>
    <cellStyle name="표준 55" xfId="174"/>
    <cellStyle name="표준 56" xfId="175"/>
    <cellStyle name="표준 58" xfId="176"/>
    <cellStyle name="표준 6" xfId="177"/>
    <cellStyle name="표준 64" xfId="178"/>
    <cellStyle name="표준 65" xfId="179"/>
    <cellStyle name="표준 66" xfId="180"/>
    <cellStyle name="표준 7" xfId="181"/>
    <cellStyle name="표준 78" xfId="182"/>
    <cellStyle name="표준 79" xfId="183"/>
    <cellStyle name="표준 8" xfId="184"/>
    <cellStyle name="표준 80" xfId="185"/>
    <cellStyle name="표준 81" xfId="186"/>
    <cellStyle name="표준 82" xfId="187"/>
    <cellStyle name="표준 83" xfId="188"/>
    <cellStyle name="표준 84" xfId="189"/>
    <cellStyle name="표준 85" xfId="190"/>
    <cellStyle name="표준 86" xfId="191"/>
    <cellStyle name="표준 87" xfId="192"/>
    <cellStyle name="표준 88" xfId="193"/>
    <cellStyle name="표준 89" xfId="194"/>
    <cellStyle name="표준 9" xfId="195"/>
    <cellStyle name="표준 90" xfId="196"/>
    <cellStyle name="표준 91" xfId="197"/>
    <cellStyle name="표준 92" xfId="198"/>
    <cellStyle name="표준 93" xfId="199"/>
    <cellStyle name="표준 94" xfId="200"/>
    <cellStyle name="표준 95" xfId="201"/>
    <cellStyle name="표준 96" xfId="202"/>
    <cellStyle name="표준 97" xfId="203"/>
    <cellStyle name="표준 98" xfId="204"/>
    <cellStyle name="표준 99" xfId="205"/>
  </cellStyles>
  <dxfs count="0"/>
  <tableStyles count="0" defaultTableStyle="TableStyleMedium9" defaultPivotStyle="PivotStyleLight16"/>
  <colors>
    <mruColors>
      <color rgb="FF0000CC"/>
      <color rgb="FF3333FF"/>
      <color rgb="FFCC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156"/>
  <sheetViews>
    <sheetView zoomScale="55" zoomScaleNormal="55" workbookViewId="0">
      <pane ySplit="10" topLeftCell="A122" activePane="bottomLeft" state="frozen"/>
      <selection pane="bottomLeft" activeCell="A4" sqref="A4:O4"/>
    </sheetView>
  </sheetViews>
  <sheetFormatPr defaultRowHeight="16.5"/>
  <cols>
    <col min="1" max="1" width="7.5" customWidth="1"/>
    <col min="2" max="2" width="10.125" customWidth="1"/>
    <col min="3" max="3" width="8.25" customWidth="1"/>
    <col min="4" max="4" width="10.125" style="1" customWidth="1"/>
    <col min="5" max="5" width="10.125" customWidth="1"/>
    <col min="6" max="6" width="8.25" customWidth="1"/>
    <col min="7" max="7" width="10.125" style="2" customWidth="1"/>
    <col min="8" max="8" width="8.25" customWidth="1"/>
    <col min="9" max="9" width="10.125" style="3" customWidth="1"/>
    <col min="10" max="10" width="18" bestFit="1" customWidth="1"/>
    <col min="11" max="11" width="22.25" style="1" customWidth="1"/>
    <col min="12" max="12" width="21.125" bestFit="1" customWidth="1"/>
    <col min="13" max="13" width="13.125" customWidth="1"/>
    <col min="14" max="14" width="13" customWidth="1"/>
    <col min="15" max="15" width="9.25" customWidth="1"/>
    <col min="16" max="17" width="7.875" customWidth="1"/>
    <col min="18" max="18" width="7.5" customWidth="1"/>
    <col min="22" max="22" width="33.25" customWidth="1"/>
  </cols>
  <sheetData>
    <row r="1" spans="1:22">
      <c r="A1" s="5" t="s">
        <v>0</v>
      </c>
      <c r="B1" s="5"/>
      <c r="C1" s="5"/>
      <c r="D1" s="6"/>
      <c r="E1" s="5"/>
      <c r="F1" s="5"/>
      <c r="G1" s="7"/>
      <c r="H1" s="5"/>
      <c r="I1" s="8"/>
      <c r="J1" s="5"/>
      <c r="K1" s="6"/>
      <c r="L1" s="5"/>
      <c r="M1" s="5"/>
      <c r="N1" s="5"/>
      <c r="O1" s="5"/>
      <c r="P1" s="5"/>
      <c r="Q1" s="5"/>
      <c r="R1" s="5"/>
    </row>
    <row r="2" spans="1:22" ht="31.5" customHeight="1">
      <c r="A2" s="396" t="s">
        <v>154</v>
      </c>
      <c r="B2" s="396"/>
      <c r="C2" s="396"/>
      <c r="D2" s="396"/>
      <c r="E2" s="396"/>
      <c r="F2" s="396"/>
      <c r="G2" s="396"/>
      <c r="H2" s="396"/>
      <c r="I2" s="396"/>
      <c r="J2" s="396"/>
      <c r="K2" s="396"/>
      <c r="L2" s="396"/>
      <c r="M2" s="396"/>
      <c r="N2" s="396"/>
      <c r="O2" s="396"/>
      <c r="P2" s="396"/>
      <c r="Q2" s="396"/>
      <c r="R2" s="396"/>
    </row>
    <row r="3" spans="1:22" ht="17.25" customHeight="1">
      <c r="A3" s="9"/>
      <c r="B3" s="9"/>
      <c r="C3" s="9"/>
      <c r="D3" s="9"/>
      <c r="E3" s="9"/>
      <c r="F3" s="9"/>
      <c r="G3" s="9"/>
      <c r="H3" s="9"/>
      <c r="I3" s="9"/>
      <c r="J3" s="9"/>
      <c r="K3" s="9"/>
      <c r="L3" s="280">
        <f>K10+M10</f>
        <v>11842070</v>
      </c>
      <c r="M3" s="9"/>
      <c r="N3" s="9"/>
      <c r="O3" s="9"/>
      <c r="P3" s="9"/>
      <c r="Q3" s="9"/>
      <c r="R3" s="9"/>
    </row>
    <row r="4" spans="1:22" ht="18" customHeight="1">
      <c r="A4" s="397" t="s">
        <v>155</v>
      </c>
      <c r="B4" s="397"/>
      <c r="C4" s="397"/>
      <c r="D4" s="397"/>
      <c r="E4" s="397"/>
      <c r="F4" s="397"/>
      <c r="G4" s="397"/>
      <c r="H4" s="397"/>
      <c r="I4" s="397"/>
      <c r="J4" s="397"/>
      <c r="K4" s="397"/>
      <c r="L4" s="397"/>
      <c r="M4" s="397"/>
      <c r="N4" s="397"/>
      <c r="O4" s="397"/>
      <c r="P4" s="10"/>
      <c r="Q4" s="10"/>
      <c r="R4" s="10"/>
    </row>
    <row r="5" spans="1:22" ht="18" customHeight="1" thickBot="1">
      <c r="A5" s="398" t="s">
        <v>156</v>
      </c>
      <c r="B5" s="398"/>
      <c r="C5" s="398"/>
      <c r="D5" s="398"/>
      <c r="E5" s="398"/>
      <c r="F5" s="398"/>
      <c r="G5" s="398"/>
      <c r="H5" s="398"/>
      <c r="I5" s="398"/>
      <c r="J5" s="398"/>
      <c r="K5" s="398"/>
      <c r="L5" s="398"/>
      <c r="M5" s="398"/>
      <c r="N5" s="398"/>
      <c r="O5" s="398"/>
      <c r="P5" s="398"/>
      <c r="Q5" s="398"/>
      <c r="R5" s="398"/>
    </row>
    <row r="6" spans="1:22" ht="29.25" customHeight="1" thickTop="1">
      <c r="A6" s="389" t="s">
        <v>254</v>
      </c>
      <c r="B6" s="389" t="s">
        <v>157</v>
      </c>
      <c r="C6" s="389"/>
      <c r="D6" s="389"/>
      <c r="E6" s="389" t="s">
        <v>158</v>
      </c>
      <c r="F6" s="389"/>
      <c r="G6" s="389"/>
      <c r="H6" s="389" t="s">
        <v>258</v>
      </c>
      <c r="I6" s="402" t="s">
        <v>259</v>
      </c>
      <c r="J6" s="399" t="s">
        <v>268</v>
      </c>
      <c r="K6" s="400"/>
      <c r="L6" s="400"/>
      <c r="M6" s="401"/>
      <c r="N6" s="391" t="s">
        <v>261</v>
      </c>
      <c r="O6" s="389"/>
      <c r="P6" s="389" t="s">
        <v>262</v>
      </c>
      <c r="Q6" s="389"/>
      <c r="R6" s="389" t="s">
        <v>265</v>
      </c>
    </row>
    <row r="7" spans="1:22" ht="24.75" customHeight="1">
      <c r="A7" s="389"/>
      <c r="B7" s="389" t="s">
        <v>255</v>
      </c>
      <c r="C7" s="389" t="s">
        <v>256</v>
      </c>
      <c r="D7" s="408" t="s">
        <v>257</v>
      </c>
      <c r="E7" s="389" t="s">
        <v>255</v>
      </c>
      <c r="F7" s="389" t="s">
        <v>256</v>
      </c>
      <c r="G7" s="405" t="s">
        <v>257</v>
      </c>
      <c r="H7" s="389"/>
      <c r="I7" s="403"/>
      <c r="J7" s="393" t="s">
        <v>159</v>
      </c>
      <c r="K7" s="389"/>
      <c r="L7" s="389" t="s">
        <v>160</v>
      </c>
      <c r="M7" s="394"/>
      <c r="N7" s="391" t="s">
        <v>267</v>
      </c>
      <c r="O7" s="389" t="s">
        <v>266</v>
      </c>
      <c r="P7" s="389" t="s">
        <v>263</v>
      </c>
      <c r="Q7" s="389" t="s">
        <v>264</v>
      </c>
      <c r="R7" s="389"/>
    </row>
    <row r="8" spans="1:22" ht="15.75" customHeight="1">
      <c r="A8" s="389"/>
      <c r="B8" s="389"/>
      <c r="C8" s="389"/>
      <c r="D8" s="395"/>
      <c r="E8" s="389"/>
      <c r="F8" s="389"/>
      <c r="G8" s="406"/>
      <c r="H8" s="389"/>
      <c r="I8" s="403"/>
      <c r="J8" s="393" t="s">
        <v>260</v>
      </c>
      <c r="K8" s="395" t="s">
        <v>272</v>
      </c>
      <c r="L8" s="389" t="s">
        <v>260</v>
      </c>
      <c r="M8" s="394" t="s">
        <v>272</v>
      </c>
      <c r="N8" s="391"/>
      <c r="O8" s="389"/>
      <c r="P8" s="389"/>
      <c r="Q8" s="389"/>
      <c r="R8" s="389"/>
    </row>
    <row r="9" spans="1:22" ht="15.75" customHeight="1">
      <c r="A9" s="390"/>
      <c r="B9" s="390"/>
      <c r="C9" s="390"/>
      <c r="D9" s="409"/>
      <c r="E9" s="390"/>
      <c r="F9" s="390"/>
      <c r="G9" s="407"/>
      <c r="H9" s="390"/>
      <c r="I9" s="404"/>
      <c r="J9" s="393"/>
      <c r="K9" s="395"/>
      <c r="L9" s="389"/>
      <c r="M9" s="394"/>
      <c r="N9" s="392"/>
      <c r="O9" s="390"/>
      <c r="P9" s="390"/>
      <c r="Q9" s="390"/>
      <c r="R9" s="390"/>
    </row>
    <row r="10" spans="1:22" ht="41.25" customHeight="1" thickBot="1">
      <c r="A10" s="173" t="s">
        <v>270</v>
      </c>
      <c r="B10" s="174" t="s">
        <v>253</v>
      </c>
      <c r="C10" s="174"/>
      <c r="D10" s="175">
        <f>SUM(D11:D145)</f>
        <v>176125</v>
      </c>
      <c r="E10" s="175"/>
      <c r="F10" s="175"/>
      <c r="G10" s="175">
        <f>SUM(G11:G145)</f>
        <v>177301.49999999997</v>
      </c>
      <c r="H10" s="12"/>
      <c r="I10" s="13"/>
      <c r="J10" s="14">
        <f>SUM(J11:J145)</f>
        <v>5775.7</v>
      </c>
      <c r="K10" s="195">
        <f>SUM(K11:K145)</f>
        <v>48291440</v>
      </c>
      <c r="L10" s="196">
        <f>SUM(L11:L145)</f>
        <v>-4599.2</v>
      </c>
      <c r="M10" s="243">
        <f>SUM(M11:M145)</f>
        <v>-36449370</v>
      </c>
      <c r="N10" s="153"/>
      <c r="O10" s="12"/>
      <c r="P10" s="12"/>
      <c r="Q10" s="11"/>
      <c r="R10" s="11"/>
    </row>
    <row r="11" spans="1:22" ht="24" customHeight="1" thickTop="1">
      <c r="A11" s="160">
        <v>1</v>
      </c>
      <c r="B11" s="227">
        <v>76</v>
      </c>
      <c r="C11" s="162" t="s">
        <v>7</v>
      </c>
      <c r="D11" s="205">
        <v>5407</v>
      </c>
      <c r="E11" s="198">
        <v>76</v>
      </c>
      <c r="F11" s="162" t="s">
        <v>7</v>
      </c>
      <c r="G11" s="215">
        <v>5518.8</v>
      </c>
      <c r="H11" s="165"/>
      <c r="I11" s="15">
        <v>8400</v>
      </c>
      <c r="J11" s="166">
        <f>G11-D11</f>
        <v>111.80000000000018</v>
      </c>
      <c r="K11" s="167">
        <f>ROUNDDOWN(I11*J11,-1)</f>
        <v>939120</v>
      </c>
      <c r="L11" s="168" t="str">
        <f t="shared" ref="L11:L42" si="0">IF(G11-D11&gt;0,"",G11-D11)</f>
        <v/>
      </c>
      <c r="M11" s="244" t="str">
        <f>IF(L11&gt;0,"",I11*L11)</f>
        <v/>
      </c>
      <c r="N11" s="170"/>
      <c r="O11" s="222" t="s">
        <v>56</v>
      </c>
      <c r="P11" s="172"/>
      <c r="Q11" s="172"/>
      <c r="R11" s="172"/>
      <c r="T11" s="260" t="s">
        <v>381</v>
      </c>
      <c r="V11" t="str">
        <f>39027&amp;1&amp;TEXT(T11,"0000")&amp;TEXT(U11,"0000")</f>
        <v>39027100760000</v>
      </c>
    </row>
    <row r="12" spans="1:22" ht="24" customHeight="1">
      <c r="A12" s="16">
        <v>2</v>
      </c>
      <c r="B12" s="228">
        <v>78</v>
      </c>
      <c r="C12" s="18" t="s">
        <v>3</v>
      </c>
      <c r="D12" s="37">
        <v>1319</v>
      </c>
      <c r="E12" s="36">
        <f>B12</f>
        <v>78</v>
      </c>
      <c r="F12" s="18" t="str">
        <f>C12</f>
        <v>전</v>
      </c>
      <c r="G12" s="30">
        <v>1187.5</v>
      </c>
      <c r="H12" s="38"/>
      <c r="I12" s="22">
        <v>8800</v>
      </c>
      <c r="J12" s="23"/>
      <c r="K12" s="167"/>
      <c r="L12" s="25">
        <f t="shared" si="0"/>
        <v>-131.5</v>
      </c>
      <c r="M12" s="245">
        <f>IF(L12&gt;0,"",I12*L12)</f>
        <v>-1157200</v>
      </c>
      <c r="N12" s="154"/>
      <c r="O12" s="39" t="s">
        <v>59</v>
      </c>
      <c r="P12" s="27"/>
      <c r="Q12" s="27"/>
      <c r="R12" s="27"/>
      <c r="T12" s="58" t="s">
        <v>382</v>
      </c>
      <c r="V12" t="str">
        <f t="shared" ref="V12:V75" si="1">39027&amp;1&amp;TEXT(T12,"0000")&amp;TEXT(U12,"0000")</f>
        <v>39027100780000</v>
      </c>
    </row>
    <row r="13" spans="1:22" ht="24" customHeight="1">
      <c r="A13" s="16">
        <v>3</v>
      </c>
      <c r="B13" s="228">
        <v>82</v>
      </c>
      <c r="C13" s="18" t="s">
        <v>3</v>
      </c>
      <c r="D13" s="37">
        <v>182</v>
      </c>
      <c r="E13" s="36">
        <v>82</v>
      </c>
      <c r="F13" s="18" t="s">
        <v>3</v>
      </c>
      <c r="G13" s="30">
        <v>275.2</v>
      </c>
      <c r="H13" s="38"/>
      <c r="I13" s="22">
        <v>8800</v>
      </c>
      <c r="J13" s="23">
        <f>G13-D13</f>
        <v>93.199999999999989</v>
      </c>
      <c r="K13" s="167">
        <f t="shared" ref="K13:K72" si="2">ROUNDDOWN(I13*J13,-1)</f>
        <v>820160</v>
      </c>
      <c r="L13" s="25" t="str">
        <f t="shared" si="0"/>
        <v/>
      </c>
      <c r="M13" s="245"/>
      <c r="N13" s="154"/>
      <c r="O13" s="39" t="s">
        <v>12</v>
      </c>
      <c r="P13" s="27"/>
      <c r="Q13" s="27"/>
      <c r="R13" s="27"/>
      <c r="T13" s="58" t="s">
        <v>383</v>
      </c>
      <c r="V13" t="str">
        <f t="shared" si="1"/>
        <v>39027100820000</v>
      </c>
    </row>
    <row r="14" spans="1:22" ht="24" customHeight="1">
      <c r="A14" s="16">
        <v>4</v>
      </c>
      <c r="B14" s="236" t="s">
        <v>131</v>
      </c>
      <c r="C14" s="89" t="s">
        <v>3</v>
      </c>
      <c r="D14" s="111">
        <v>823</v>
      </c>
      <c r="E14" s="36" t="str">
        <f>B14</f>
        <v>84-1</v>
      </c>
      <c r="F14" s="18" t="str">
        <f>C14</f>
        <v>전</v>
      </c>
      <c r="G14" s="111">
        <v>841.6</v>
      </c>
      <c r="H14" s="112"/>
      <c r="I14" s="22">
        <v>8800</v>
      </c>
      <c r="J14" s="23">
        <f>G14-D14</f>
        <v>18.600000000000023</v>
      </c>
      <c r="K14" s="167">
        <f t="shared" si="2"/>
        <v>163680</v>
      </c>
      <c r="L14" s="25" t="str">
        <f t="shared" si="0"/>
        <v/>
      </c>
      <c r="M14" s="245"/>
      <c r="N14" s="154"/>
      <c r="O14" s="113" t="s">
        <v>130</v>
      </c>
      <c r="P14" s="94"/>
      <c r="Q14" s="94"/>
      <c r="R14" s="94"/>
      <c r="T14" s="114" t="s">
        <v>384</v>
      </c>
      <c r="U14">
        <v>1</v>
      </c>
      <c r="V14" t="str">
        <f t="shared" si="1"/>
        <v>39027100840001</v>
      </c>
    </row>
    <row r="15" spans="1:22" ht="24" customHeight="1">
      <c r="A15" s="16">
        <v>5</v>
      </c>
      <c r="B15" s="237" t="s">
        <v>33</v>
      </c>
      <c r="C15" s="89" t="s">
        <v>3</v>
      </c>
      <c r="D15" s="207">
        <v>1203</v>
      </c>
      <c r="E15" s="58" t="str">
        <f>B15</f>
        <v>85-2</v>
      </c>
      <c r="F15" s="18" t="s">
        <v>3</v>
      </c>
      <c r="G15" s="104">
        <v>1183</v>
      </c>
      <c r="H15" s="38"/>
      <c r="I15" s="57">
        <v>7920</v>
      </c>
      <c r="J15" s="23"/>
      <c r="K15" s="167"/>
      <c r="L15" s="25">
        <f t="shared" si="0"/>
        <v>-20</v>
      </c>
      <c r="M15" s="245">
        <f>IF(L15&gt;0,"",I15*L15)</f>
        <v>-158400</v>
      </c>
      <c r="N15" s="154" t="s">
        <v>6</v>
      </c>
      <c r="O15" s="220" t="s">
        <v>35</v>
      </c>
      <c r="P15" s="94"/>
      <c r="Q15" s="94"/>
      <c r="R15" s="224"/>
      <c r="T15" s="261" t="s">
        <v>385</v>
      </c>
      <c r="U15">
        <v>2</v>
      </c>
      <c r="V15" t="str">
        <f t="shared" si="1"/>
        <v>39027100850002</v>
      </c>
    </row>
    <row r="16" spans="1:22" ht="24" customHeight="1">
      <c r="A16" s="16">
        <v>6</v>
      </c>
      <c r="B16" s="237" t="s">
        <v>34</v>
      </c>
      <c r="C16" s="89" t="s">
        <v>3</v>
      </c>
      <c r="D16" s="207">
        <v>893</v>
      </c>
      <c r="E16" s="58" t="str">
        <f>B16</f>
        <v>85-3</v>
      </c>
      <c r="F16" s="18" t="s">
        <v>3</v>
      </c>
      <c r="G16" s="104">
        <v>824.8</v>
      </c>
      <c r="H16" s="38"/>
      <c r="I16" s="57">
        <v>7920</v>
      </c>
      <c r="J16" s="23"/>
      <c r="K16" s="167"/>
      <c r="L16" s="25">
        <f t="shared" si="0"/>
        <v>-68.200000000000045</v>
      </c>
      <c r="M16" s="245">
        <f>ROUNDDOWN(IF(L16&gt;0,"",I16*L16),-1)</f>
        <v>-540140</v>
      </c>
      <c r="N16" s="154" t="s">
        <v>6</v>
      </c>
      <c r="O16" s="220" t="s">
        <v>35</v>
      </c>
      <c r="P16" s="94"/>
      <c r="Q16" s="94"/>
      <c r="R16" s="224"/>
      <c r="T16" s="261" t="s">
        <v>385</v>
      </c>
      <c r="U16">
        <v>3</v>
      </c>
      <c r="V16" t="str">
        <f t="shared" si="1"/>
        <v>39027100850003</v>
      </c>
    </row>
    <row r="17" spans="1:22" ht="24" customHeight="1">
      <c r="A17" s="16">
        <v>7</v>
      </c>
      <c r="B17" s="228">
        <v>86</v>
      </c>
      <c r="C17" s="18" t="s">
        <v>3</v>
      </c>
      <c r="D17" s="37">
        <v>1636</v>
      </c>
      <c r="E17" s="36">
        <v>86</v>
      </c>
      <c r="F17" s="18" t="s">
        <v>3</v>
      </c>
      <c r="G17" s="30">
        <v>1542.8</v>
      </c>
      <c r="H17" s="38"/>
      <c r="I17" s="22">
        <v>7920</v>
      </c>
      <c r="J17" s="23"/>
      <c r="K17" s="167"/>
      <c r="L17" s="25">
        <f t="shared" si="0"/>
        <v>-93.200000000000045</v>
      </c>
      <c r="M17" s="245">
        <f>ROUNDDOWN(IF(L17&gt;0,"",I17*L17),-1)</f>
        <v>-738140</v>
      </c>
      <c r="N17" s="154"/>
      <c r="O17" s="39" t="s">
        <v>12</v>
      </c>
      <c r="P17" s="27"/>
      <c r="Q17" s="27"/>
      <c r="R17" s="27"/>
      <c r="T17" s="58" t="s">
        <v>386</v>
      </c>
      <c r="V17" t="str">
        <f t="shared" si="1"/>
        <v>39027100860000</v>
      </c>
    </row>
    <row r="18" spans="1:22" ht="24" customHeight="1">
      <c r="A18" s="16">
        <v>8</v>
      </c>
      <c r="B18" s="229">
        <v>88</v>
      </c>
      <c r="C18" s="18" t="s">
        <v>3</v>
      </c>
      <c r="D18" s="45">
        <v>2188</v>
      </c>
      <c r="E18" s="36">
        <f t="shared" ref="E18:F22" si="3">B18</f>
        <v>88</v>
      </c>
      <c r="F18" s="18" t="str">
        <f t="shared" si="3"/>
        <v>전</v>
      </c>
      <c r="G18" s="16">
        <v>2287</v>
      </c>
      <c r="H18" s="38"/>
      <c r="I18" s="22">
        <v>5890</v>
      </c>
      <c r="J18" s="23">
        <f>G18-D18</f>
        <v>99</v>
      </c>
      <c r="K18" s="167">
        <f t="shared" si="2"/>
        <v>583110</v>
      </c>
      <c r="L18" s="25" t="str">
        <f t="shared" si="0"/>
        <v/>
      </c>
      <c r="M18" s="245"/>
      <c r="N18" s="154" t="s">
        <v>6</v>
      </c>
      <c r="O18" s="46" t="s">
        <v>99</v>
      </c>
      <c r="P18" s="27"/>
      <c r="Q18" s="27"/>
      <c r="R18" s="27"/>
      <c r="T18" s="262" t="s">
        <v>387</v>
      </c>
      <c r="V18" t="str">
        <f t="shared" si="1"/>
        <v>39027100880000</v>
      </c>
    </row>
    <row r="19" spans="1:22" ht="24" customHeight="1">
      <c r="A19" s="16">
        <v>9</v>
      </c>
      <c r="B19" s="230">
        <v>91</v>
      </c>
      <c r="C19" s="18" t="s">
        <v>3</v>
      </c>
      <c r="D19" s="200">
        <v>1762</v>
      </c>
      <c r="E19" s="36">
        <f t="shared" si="3"/>
        <v>91</v>
      </c>
      <c r="F19" s="18" t="str">
        <f t="shared" si="3"/>
        <v>전</v>
      </c>
      <c r="G19" s="200">
        <v>1820.7</v>
      </c>
      <c r="H19" s="112"/>
      <c r="I19" s="22">
        <v>5890</v>
      </c>
      <c r="J19" s="23">
        <f>G19-D19</f>
        <v>58.700000000000045</v>
      </c>
      <c r="K19" s="167">
        <f t="shared" si="2"/>
        <v>345740</v>
      </c>
      <c r="L19" s="25" t="str">
        <f t="shared" si="0"/>
        <v/>
      </c>
      <c r="M19" s="245"/>
      <c r="N19" s="154"/>
      <c r="O19" s="219" t="s">
        <v>142</v>
      </c>
      <c r="P19" s="27"/>
      <c r="Q19" s="27"/>
      <c r="R19" s="27"/>
      <c r="T19" s="263" t="s">
        <v>388</v>
      </c>
      <c r="V19" t="str">
        <f t="shared" si="1"/>
        <v>39027100910000</v>
      </c>
    </row>
    <row r="20" spans="1:22" ht="24" customHeight="1">
      <c r="A20" s="16">
        <v>10</v>
      </c>
      <c r="B20" s="231">
        <v>92</v>
      </c>
      <c r="C20" s="18" t="s">
        <v>102</v>
      </c>
      <c r="D20" s="47">
        <v>469</v>
      </c>
      <c r="E20" s="36">
        <f t="shared" si="3"/>
        <v>92</v>
      </c>
      <c r="F20" s="18" t="str">
        <f t="shared" si="3"/>
        <v>묘지</v>
      </c>
      <c r="G20" s="18">
        <v>540.29999999999995</v>
      </c>
      <c r="H20" s="21"/>
      <c r="I20" s="22">
        <v>1660</v>
      </c>
      <c r="J20" s="23">
        <f>G20-D20</f>
        <v>71.299999999999955</v>
      </c>
      <c r="K20" s="167">
        <f t="shared" si="2"/>
        <v>118350</v>
      </c>
      <c r="L20" s="25" t="str">
        <f t="shared" si="0"/>
        <v/>
      </c>
      <c r="M20" s="245"/>
      <c r="N20" s="154" t="s">
        <v>6</v>
      </c>
      <c r="O20" s="26" t="s">
        <v>26</v>
      </c>
      <c r="P20" s="27"/>
      <c r="Q20" s="27"/>
      <c r="R20" s="27"/>
      <c r="T20" s="69" t="s">
        <v>389</v>
      </c>
      <c r="V20" t="str">
        <f t="shared" si="1"/>
        <v>39027100920000</v>
      </c>
    </row>
    <row r="21" spans="1:22" ht="24" customHeight="1">
      <c r="A21" s="16">
        <v>11</v>
      </c>
      <c r="B21" s="239" t="s">
        <v>65</v>
      </c>
      <c r="C21" s="89" t="s">
        <v>3</v>
      </c>
      <c r="D21" s="201">
        <v>1279</v>
      </c>
      <c r="E21" s="36" t="str">
        <f t="shared" si="3"/>
        <v>93-1</v>
      </c>
      <c r="F21" s="18" t="str">
        <f t="shared" si="3"/>
        <v>전</v>
      </c>
      <c r="G21" s="213">
        <v>1253.2</v>
      </c>
      <c r="H21" s="21"/>
      <c r="I21" s="70">
        <v>5890</v>
      </c>
      <c r="J21" s="23"/>
      <c r="K21" s="167"/>
      <c r="L21" s="25">
        <f t="shared" si="0"/>
        <v>-25.799999999999955</v>
      </c>
      <c r="M21" s="245">
        <f>ROUNDDOWN(IF(L21&gt;0,"",I21*L21),-1)</f>
        <v>-151960</v>
      </c>
      <c r="N21" s="154"/>
      <c r="O21" s="98" t="s">
        <v>67</v>
      </c>
      <c r="P21" s="94"/>
      <c r="Q21" s="94"/>
      <c r="R21" s="224"/>
      <c r="T21" s="264" t="s">
        <v>390</v>
      </c>
      <c r="U21">
        <v>1</v>
      </c>
      <c r="V21" t="str">
        <f t="shared" si="1"/>
        <v>39027100930001</v>
      </c>
    </row>
    <row r="22" spans="1:22" ht="24" customHeight="1">
      <c r="A22" s="16">
        <v>12</v>
      </c>
      <c r="B22" s="239" t="s">
        <v>66</v>
      </c>
      <c r="C22" s="89" t="s">
        <v>3</v>
      </c>
      <c r="D22" s="201">
        <v>615</v>
      </c>
      <c r="E22" s="36" t="str">
        <f t="shared" si="3"/>
        <v>93-2</v>
      </c>
      <c r="F22" s="18" t="str">
        <f t="shared" si="3"/>
        <v>전</v>
      </c>
      <c r="G22" s="213">
        <v>470.4</v>
      </c>
      <c r="H22" s="21"/>
      <c r="I22" s="22">
        <v>7920</v>
      </c>
      <c r="J22" s="23"/>
      <c r="K22" s="167"/>
      <c r="L22" s="25">
        <f t="shared" si="0"/>
        <v>-144.60000000000002</v>
      </c>
      <c r="M22" s="245">
        <f>ROUNDDOWN(IF(L22&gt;0,"",I22*L22),-1)</f>
        <v>-1145230</v>
      </c>
      <c r="N22" s="154"/>
      <c r="O22" s="98" t="s">
        <v>67</v>
      </c>
      <c r="P22" s="94"/>
      <c r="Q22" s="94"/>
      <c r="R22" s="224"/>
      <c r="T22" s="264" t="s">
        <v>390</v>
      </c>
      <c r="U22">
        <v>2</v>
      </c>
      <c r="V22" t="str">
        <f t="shared" si="1"/>
        <v>39027100930002</v>
      </c>
    </row>
    <row r="23" spans="1:22" ht="24" customHeight="1">
      <c r="A23" s="16">
        <v>13</v>
      </c>
      <c r="B23" s="237" t="s">
        <v>52</v>
      </c>
      <c r="C23" s="89" t="s">
        <v>3</v>
      </c>
      <c r="D23" s="202">
        <v>1435</v>
      </c>
      <c r="E23" s="58" t="str">
        <f t="shared" ref="E23:E29" si="4">B23</f>
        <v>93-3</v>
      </c>
      <c r="F23" s="18" t="s">
        <v>3</v>
      </c>
      <c r="G23" s="212">
        <v>1577.9</v>
      </c>
      <c r="H23" s="38"/>
      <c r="I23" s="22">
        <v>7920</v>
      </c>
      <c r="J23" s="23">
        <f>G23-D23</f>
        <v>142.90000000000009</v>
      </c>
      <c r="K23" s="167">
        <f t="shared" si="2"/>
        <v>1131760</v>
      </c>
      <c r="L23" s="25" t="str">
        <f t="shared" si="0"/>
        <v/>
      </c>
      <c r="M23" s="245"/>
      <c r="N23" s="154"/>
      <c r="O23" s="220" t="s">
        <v>53</v>
      </c>
      <c r="P23" s="94"/>
      <c r="Q23" s="94"/>
      <c r="R23" s="94"/>
      <c r="T23" s="261" t="s">
        <v>390</v>
      </c>
      <c r="U23">
        <v>3</v>
      </c>
      <c r="V23" t="str">
        <f t="shared" si="1"/>
        <v>39027100930003</v>
      </c>
    </row>
    <row r="24" spans="1:22" ht="24" customHeight="1">
      <c r="A24" s="16">
        <v>14</v>
      </c>
      <c r="B24" s="242" t="s">
        <v>80</v>
      </c>
      <c r="C24" s="89" t="s">
        <v>3</v>
      </c>
      <c r="D24" s="206">
        <v>866</v>
      </c>
      <c r="E24" s="36" t="str">
        <f t="shared" si="4"/>
        <v>95-3</v>
      </c>
      <c r="F24" s="18" t="str">
        <f t="shared" ref="F24:F29" si="5">C24</f>
        <v>전</v>
      </c>
      <c r="G24" s="212">
        <v>896.5</v>
      </c>
      <c r="H24" s="38"/>
      <c r="I24" s="63">
        <v>7920</v>
      </c>
      <c r="J24" s="23">
        <f>G24-D24</f>
        <v>30.5</v>
      </c>
      <c r="K24" s="167">
        <f t="shared" si="2"/>
        <v>241560</v>
      </c>
      <c r="L24" s="25" t="str">
        <f t="shared" si="0"/>
        <v/>
      </c>
      <c r="M24" s="245"/>
      <c r="N24" s="154"/>
      <c r="O24" s="101" t="s">
        <v>81</v>
      </c>
      <c r="P24" s="94"/>
      <c r="Q24" s="94"/>
      <c r="R24" s="224"/>
      <c r="T24" s="265" t="s">
        <v>391</v>
      </c>
      <c r="U24">
        <v>3</v>
      </c>
      <c r="V24" t="str">
        <f t="shared" si="1"/>
        <v>39027100950003</v>
      </c>
    </row>
    <row r="25" spans="1:22" ht="24" customHeight="1">
      <c r="A25" s="16">
        <v>15</v>
      </c>
      <c r="B25" s="231">
        <v>94</v>
      </c>
      <c r="C25" s="18" t="s">
        <v>3</v>
      </c>
      <c r="D25" s="47">
        <v>1620</v>
      </c>
      <c r="E25" s="36">
        <f t="shared" si="4"/>
        <v>94</v>
      </c>
      <c r="F25" s="18" t="str">
        <f t="shared" si="5"/>
        <v>전</v>
      </c>
      <c r="G25" s="18">
        <v>1583.7</v>
      </c>
      <c r="H25" s="48"/>
      <c r="I25" s="22">
        <v>7920</v>
      </c>
      <c r="J25" s="23"/>
      <c r="K25" s="167">
        <f t="shared" si="2"/>
        <v>0</v>
      </c>
      <c r="L25" s="25">
        <f t="shared" si="0"/>
        <v>-36.299999999999955</v>
      </c>
      <c r="M25" s="245">
        <f>ROUNDDOWN(IF(L25&gt;0,"",I25*L25),-1)</f>
        <v>-287490</v>
      </c>
      <c r="N25" s="154" t="s">
        <v>6</v>
      </c>
      <c r="O25" s="26" t="s">
        <v>100</v>
      </c>
      <c r="P25" s="27"/>
      <c r="Q25" s="27"/>
      <c r="R25" s="27"/>
      <c r="T25" s="69" t="s">
        <v>392</v>
      </c>
      <c r="V25" t="str">
        <f t="shared" si="1"/>
        <v>39027100940000</v>
      </c>
    </row>
    <row r="26" spans="1:22" ht="24" customHeight="1">
      <c r="A26" s="16">
        <v>16</v>
      </c>
      <c r="B26" s="230">
        <v>124</v>
      </c>
      <c r="C26" s="18" t="s">
        <v>3</v>
      </c>
      <c r="D26" s="200">
        <v>512</v>
      </c>
      <c r="E26" s="36">
        <f t="shared" si="4"/>
        <v>124</v>
      </c>
      <c r="F26" s="18" t="str">
        <f t="shared" si="5"/>
        <v>전</v>
      </c>
      <c r="G26" s="200">
        <v>556</v>
      </c>
      <c r="H26" s="112"/>
      <c r="I26" s="22">
        <v>8800</v>
      </c>
      <c r="J26" s="23">
        <f>G26-D26</f>
        <v>44</v>
      </c>
      <c r="K26" s="167">
        <f t="shared" si="2"/>
        <v>387200</v>
      </c>
      <c r="L26" s="25" t="str">
        <f t="shared" si="0"/>
        <v/>
      </c>
      <c r="M26" s="245"/>
      <c r="N26" s="154"/>
      <c r="O26" s="219" t="s">
        <v>119</v>
      </c>
      <c r="P26" s="27"/>
      <c r="Q26" s="27"/>
      <c r="R26" s="27"/>
      <c r="T26" s="263" t="s">
        <v>393</v>
      </c>
      <c r="V26" t="str">
        <f t="shared" si="1"/>
        <v>39027101240000</v>
      </c>
    </row>
    <row r="27" spans="1:22" ht="24" customHeight="1">
      <c r="A27" s="16">
        <v>17</v>
      </c>
      <c r="B27" s="230">
        <v>127</v>
      </c>
      <c r="C27" s="18" t="s">
        <v>2</v>
      </c>
      <c r="D27" s="200">
        <v>526</v>
      </c>
      <c r="E27" s="36">
        <f t="shared" si="4"/>
        <v>127</v>
      </c>
      <c r="F27" s="18" t="str">
        <f t="shared" si="5"/>
        <v>대</v>
      </c>
      <c r="G27" s="200">
        <v>472.7</v>
      </c>
      <c r="H27" s="112"/>
      <c r="I27" s="22">
        <v>12700</v>
      </c>
      <c r="J27" s="23"/>
      <c r="K27" s="167"/>
      <c r="L27" s="25">
        <f t="shared" si="0"/>
        <v>-53.300000000000011</v>
      </c>
      <c r="M27" s="245">
        <f>ROUNDDOWN(IF(L27&gt;0,"",I27*L27),-1)</f>
        <v>-676910</v>
      </c>
      <c r="N27" s="154"/>
      <c r="O27" s="219" t="s">
        <v>143</v>
      </c>
      <c r="P27" s="27"/>
      <c r="Q27" s="27"/>
      <c r="R27" s="27"/>
      <c r="T27" s="263" t="s">
        <v>394</v>
      </c>
      <c r="V27" t="str">
        <f t="shared" si="1"/>
        <v>39027101270000</v>
      </c>
    </row>
    <row r="28" spans="1:22" ht="24" customHeight="1">
      <c r="A28" s="16">
        <v>18</v>
      </c>
      <c r="B28" s="230">
        <v>134</v>
      </c>
      <c r="C28" s="18" t="s">
        <v>3</v>
      </c>
      <c r="D28" s="200">
        <v>212</v>
      </c>
      <c r="E28" s="36">
        <f t="shared" si="4"/>
        <v>134</v>
      </c>
      <c r="F28" s="18" t="str">
        <f t="shared" si="5"/>
        <v>전</v>
      </c>
      <c r="G28" s="200">
        <v>257.7</v>
      </c>
      <c r="H28" s="112"/>
      <c r="I28" s="22">
        <v>6410</v>
      </c>
      <c r="J28" s="23">
        <f>G28-D28</f>
        <v>45.699999999999989</v>
      </c>
      <c r="K28" s="167">
        <f t="shared" si="2"/>
        <v>292930</v>
      </c>
      <c r="L28" s="25" t="str">
        <f t="shared" si="0"/>
        <v/>
      </c>
      <c r="M28" s="245"/>
      <c r="N28" s="154"/>
      <c r="O28" s="219" t="s">
        <v>151</v>
      </c>
      <c r="P28" s="27"/>
      <c r="Q28" s="27"/>
      <c r="R28" s="27"/>
      <c r="T28" s="263" t="s">
        <v>395</v>
      </c>
      <c r="V28" t="str">
        <f t="shared" si="1"/>
        <v>39027101340000</v>
      </c>
    </row>
    <row r="29" spans="1:22" s="4" customFormat="1" ht="24" customHeight="1">
      <c r="A29" s="16">
        <v>19</v>
      </c>
      <c r="B29" s="230">
        <v>154</v>
      </c>
      <c r="C29" s="18" t="s">
        <v>2</v>
      </c>
      <c r="D29" s="200">
        <v>456</v>
      </c>
      <c r="E29" s="36">
        <f t="shared" si="4"/>
        <v>154</v>
      </c>
      <c r="F29" s="18" t="str">
        <f t="shared" si="5"/>
        <v>대</v>
      </c>
      <c r="G29" s="200">
        <v>402.3</v>
      </c>
      <c r="H29" s="112"/>
      <c r="I29" s="22">
        <v>12500</v>
      </c>
      <c r="J29" s="23"/>
      <c r="K29" s="167"/>
      <c r="L29" s="25">
        <f t="shared" si="0"/>
        <v>-53.699999999999989</v>
      </c>
      <c r="M29" s="245">
        <f>IF(L29&gt;0,"",I29*L29)</f>
        <v>-671249.99999999988</v>
      </c>
      <c r="N29" s="154"/>
      <c r="O29" s="219" t="s">
        <v>153</v>
      </c>
      <c r="P29" s="27"/>
      <c r="Q29" s="27"/>
      <c r="R29" s="27"/>
      <c r="S29"/>
      <c r="T29" s="263" t="s">
        <v>396</v>
      </c>
      <c r="V29" t="str">
        <f t="shared" si="1"/>
        <v>39027101540000</v>
      </c>
    </row>
    <row r="30" spans="1:22" s="4" customFormat="1" ht="24" customHeight="1">
      <c r="A30" s="16">
        <v>20</v>
      </c>
      <c r="B30" s="68">
        <v>156</v>
      </c>
      <c r="C30" s="18" t="s">
        <v>1</v>
      </c>
      <c r="D30" s="41">
        <v>401</v>
      </c>
      <c r="E30" s="68">
        <v>156</v>
      </c>
      <c r="F30" s="18" t="s">
        <v>1</v>
      </c>
      <c r="G30" s="30">
        <v>385.2</v>
      </c>
      <c r="H30" s="38"/>
      <c r="I30" s="22">
        <v>12500</v>
      </c>
      <c r="J30" s="23"/>
      <c r="K30" s="167"/>
      <c r="L30" s="25">
        <f t="shared" si="0"/>
        <v>-15.800000000000011</v>
      </c>
      <c r="M30" s="245">
        <f>IF(L30&gt;0,"",I30*L30)</f>
        <v>-197500.00000000015</v>
      </c>
      <c r="N30" s="154"/>
      <c r="O30" s="42" t="s">
        <v>43</v>
      </c>
      <c r="P30" s="27"/>
      <c r="Q30" s="27"/>
      <c r="R30" s="43"/>
      <c r="S30"/>
      <c r="T30" s="266" t="s">
        <v>397</v>
      </c>
      <c r="V30" t="str">
        <f t="shared" si="1"/>
        <v>39027101560000</v>
      </c>
    </row>
    <row r="31" spans="1:22" ht="24" customHeight="1">
      <c r="A31" s="16">
        <v>21</v>
      </c>
      <c r="B31" s="228" t="s">
        <v>54</v>
      </c>
      <c r="C31" s="18" t="s">
        <v>2</v>
      </c>
      <c r="D31" s="37">
        <v>425</v>
      </c>
      <c r="E31" s="36" t="s">
        <v>54</v>
      </c>
      <c r="F31" s="18" t="s">
        <v>2</v>
      </c>
      <c r="G31" s="30">
        <v>418.8</v>
      </c>
      <c r="H31" s="38"/>
      <c r="I31" s="22">
        <v>11200</v>
      </c>
      <c r="J31" s="23"/>
      <c r="K31" s="167"/>
      <c r="L31" s="25">
        <f t="shared" si="0"/>
        <v>-6.1999999999999886</v>
      </c>
      <c r="M31" s="245">
        <f>IF(L31&gt;0,"",I31*L31)</f>
        <v>-69439.999999999869</v>
      </c>
      <c r="N31" s="154"/>
      <c r="O31" s="39" t="s">
        <v>56</v>
      </c>
      <c r="P31" s="27"/>
      <c r="Q31" s="27"/>
      <c r="R31" s="27"/>
      <c r="T31" s="58" t="s">
        <v>397</v>
      </c>
      <c r="U31">
        <v>1</v>
      </c>
      <c r="V31" t="str">
        <f t="shared" si="1"/>
        <v>39027101560001</v>
      </c>
    </row>
    <row r="32" spans="1:22" ht="24" customHeight="1">
      <c r="A32" s="16">
        <v>22</v>
      </c>
      <c r="B32" s="228" t="s">
        <v>29</v>
      </c>
      <c r="C32" s="18" t="s">
        <v>2</v>
      </c>
      <c r="D32" s="55">
        <v>340</v>
      </c>
      <c r="E32" s="36" t="str">
        <f t="shared" ref="E32:F37" si="6">B32</f>
        <v>156-4</v>
      </c>
      <c r="F32" s="18" t="str">
        <f t="shared" si="6"/>
        <v>대</v>
      </c>
      <c r="G32" s="51">
        <v>327.60000000000002</v>
      </c>
      <c r="H32" s="38"/>
      <c r="I32" s="22">
        <v>12500</v>
      </c>
      <c r="J32" s="23"/>
      <c r="K32" s="167"/>
      <c r="L32" s="25">
        <f t="shared" si="0"/>
        <v>-12.399999999999977</v>
      </c>
      <c r="M32" s="245">
        <f>IF(L32&gt;0,"",I32*L32)</f>
        <v>-154999.99999999971</v>
      </c>
      <c r="N32" s="154" t="s">
        <v>6</v>
      </c>
      <c r="O32" s="39" t="s">
        <v>32</v>
      </c>
      <c r="P32" s="27"/>
      <c r="Q32" s="27"/>
      <c r="R32" s="43"/>
      <c r="T32" s="58" t="s">
        <v>397</v>
      </c>
      <c r="U32">
        <v>4</v>
      </c>
      <c r="V32" t="str">
        <f t="shared" si="1"/>
        <v>39027101560004</v>
      </c>
    </row>
    <row r="33" spans="1:22" ht="24" customHeight="1">
      <c r="A33" s="16">
        <v>23</v>
      </c>
      <c r="B33" s="53" t="s">
        <v>24</v>
      </c>
      <c r="C33" s="18" t="s">
        <v>3</v>
      </c>
      <c r="D33" s="50">
        <v>238</v>
      </c>
      <c r="E33" s="53" t="str">
        <f t="shared" si="6"/>
        <v>157-1</v>
      </c>
      <c r="F33" s="18" t="str">
        <f t="shared" si="6"/>
        <v>전</v>
      </c>
      <c r="G33" s="51">
        <v>207.7</v>
      </c>
      <c r="H33" s="38"/>
      <c r="I33" s="22">
        <v>9880</v>
      </c>
      <c r="J33" s="23"/>
      <c r="K33" s="167"/>
      <c r="L33" s="25">
        <f t="shared" si="0"/>
        <v>-30.300000000000011</v>
      </c>
      <c r="M33" s="245">
        <f>ROUNDDOWN(IF(L33&gt;0,"",I33*L33),-1)</f>
        <v>-299360</v>
      </c>
      <c r="N33" s="154" t="s">
        <v>6</v>
      </c>
      <c r="O33" s="52" t="s">
        <v>26</v>
      </c>
      <c r="P33" s="27"/>
      <c r="Q33" s="27"/>
      <c r="R33" s="43"/>
      <c r="T33" s="267" t="s">
        <v>398</v>
      </c>
      <c r="U33">
        <v>1</v>
      </c>
      <c r="V33" t="str">
        <f t="shared" si="1"/>
        <v>39027101570001</v>
      </c>
    </row>
    <row r="34" spans="1:22" ht="24" customHeight="1">
      <c r="A34" s="16">
        <v>24</v>
      </c>
      <c r="B34" s="228" t="s">
        <v>57</v>
      </c>
      <c r="C34" s="18" t="s">
        <v>1</v>
      </c>
      <c r="D34" s="37">
        <v>268</v>
      </c>
      <c r="E34" s="36" t="str">
        <f t="shared" si="6"/>
        <v>157-2</v>
      </c>
      <c r="F34" s="18" t="str">
        <f t="shared" si="6"/>
        <v>대</v>
      </c>
      <c r="G34" s="30">
        <v>334.7</v>
      </c>
      <c r="H34" s="38"/>
      <c r="I34" s="22">
        <v>12500</v>
      </c>
      <c r="J34" s="23">
        <f>G34-D34</f>
        <v>66.699999999999989</v>
      </c>
      <c r="K34" s="167">
        <f t="shared" si="2"/>
        <v>833750</v>
      </c>
      <c r="L34" s="25" t="str">
        <f t="shared" si="0"/>
        <v/>
      </c>
      <c r="M34" s="245"/>
      <c r="N34" s="154"/>
      <c r="O34" s="39" t="s">
        <v>59</v>
      </c>
      <c r="P34" s="27"/>
      <c r="Q34" s="27"/>
      <c r="R34" s="27"/>
      <c r="T34" s="58" t="s">
        <v>398</v>
      </c>
      <c r="U34">
        <v>2</v>
      </c>
      <c r="V34" t="str">
        <f t="shared" si="1"/>
        <v>39027101570002</v>
      </c>
    </row>
    <row r="35" spans="1:22" s="4" customFormat="1" ht="24" customHeight="1">
      <c r="A35" s="16">
        <v>25</v>
      </c>
      <c r="B35" s="228" t="s">
        <v>58</v>
      </c>
      <c r="C35" s="18" t="s">
        <v>1</v>
      </c>
      <c r="D35" s="37">
        <v>317</v>
      </c>
      <c r="E35" s="36" t="str">
        <f t="shared" si="6"/>
        <v>157-3</v>
      </c>
      <c r="F35" s="18" t="str">
        <f t="shared" si="6"/>
        <v>대</v>
      </c>
      <c r="G35" s="30">
        <v>294.7</v>
      </c>
      <c r="H35" s="38"/>
      <c r="I35" s="22">
        <v>12500</v>
      </c>
      <c r="J35" s="23"/>
      <c r="K35" s="167"/>
      <c r="L35" s="25">
        <f t="shared" si="0"/>
        <v>-22.300000000000011</v>
      </c>
      <c r="M35" s="245">
        <f>IF(L35&gt;0,"",I35*L35)</f>
        <v>-278750.00000000012</v>
      </c>
      <c r="N35" s="154"/>
      <c r="O35" s="39" t="s">
        <v>59</v>
      </c>
      <c r="P35" s="27"/>
      <c r="Q35" s="27"/>
      <c r="R35" s="27"/>
      <c r="T35" s="58" t="s">
        <v>398</v>
      </c>
      <c r="U35" s="4">
        <v>3</v>
      </c>
      <c r="V35" t="str">
        <f t="shared" si="1"/>
        <v>39027101570003</v>
      </c>
    </row>
    <row r="36" spans="1:22" s="4" customFormat="1" ht="24" customHeight="1">
      <c r="A36" s="16">
        <v>26</v>
      </c>
      <c r="B36" s="53" t="s">
        <v>25</v>
      </c>
      <c r="C36" s="18" t="s">
        <v>2</v>
      </c>
      <c r="D36" s="50">
        <v>340</v>
      </c>
      <c r="E36" s="53" t="str">
        <f t="shared" si="6"/>
        <v>157-4</v>
      </c>
      <c r="F36" s="18" t="str">
        <f t="shared" si="6"/>
        <v>대</v>
      </c>
      <c r="G36" s="51">
        <v>462.1</v>
      </c>
      <c r="H36" s="38"/>
      <c r="I36" s="22">
        <v>12500</v>
      </c>
      <c r="J36" s="23">
        <f>G36-D36</f>
        <v>122.10000000000002</v>
      </c>
      <c r="K36" s="167">
        <f t="shared" si="2"/>
        <v>1526250</v>
      </c>
      <c r="L36" s="25" t="str">
        <f t="shared" si="0"/>
        <v/>
      </c>
      <c r="M36" s="245"/>
      <c r="N36" s="154" t="s">
        <v>6</v>
      </c>
      <c r="O36" s="52" t="s">
        <v>26</v>
      </c>
      <c r="P36" s="27"/>
      <c r="Q36" s="27"/>
      <c r="R36" s="43"/>
      <c r="T36" s="267" t="s">
        <v>398</v>
      </c>
      <c r="U36" s="4">
        <v>4</v>
      </c>
      <c r="V36" t="str">
        <f t="shared" si="1"/>
        <v>39027101570004</v>
      </c>
    </row>
    <row r="37" spans="1:22" s="4" customFormat="1" ht="24" customHeight="1">
      <c r="A37" s="16">
        <v>27</v>
      </c>
      <c r="B37" s="228">
        <v>158</v>
      </c>
      <c r="C37" s="18" t="s">
        <v>3</v>
      </c>
      <c r="D37" s="37">
        <v>1131</v>
      </c>
      <c r="E37" s="36">
        <f t="shared" si="6"/>
        <v>158</v>
      </c>
      <c r="F37" s="18" t="str">
        <f t="shared" si="6"/>
        <v>전</v>
      </c>
      <c r="G37" s="30">
        <v>931.6</v>
      </c>
      <c r="H37" s="38"/>
      <c r="I37" s="22">
        <v>9320</v>
      </c>
      <c r="J37" s="23"/>
      <c r="K37" s="167"/>
      <c r="L37" s="25">
        <f t="shared" si="0"/>
        <v>-199.39999999999998</v>
      </c>
      <c r="M37" s="245">
        <f>ROUNDDOWN(IF(L37&gt;0,"",I37*L37),-1)</f>
        <v>-1858400</v>
      </c>
      <c r="N37" s="154"/>
      <c r="O37" s="39" t="s">
        <v>89</v>
      </c>
      <c r="P37" s="27"/>
      <c r="Q37" s="27"/>
      <c r="R37" s="43"/>
      <c r="S37"/>
      <c r="T37" s="58" t="s">
        <v>399</v>
      </c>
      <c r="V37" t="str">
        <f t="shared" si="1"/>
        <v>39027101580000</v>
      </c>
    </row>
    <row r="38" spans="1:22" s="4" customFormat="1" ht="24" customHeight="1">
      <c r="A38" s="16">
        <v>28</v>
      </c>
      <c r="B38" s="49">
        <v>159</v>
      </c>
      <c r="C38" s="18" t="s">
        <v>7</v>
      </c>
      <c r="D38" s="50">
        <v>1934</v>
      </c>
      <c r="E38" s="49">
        <v>159</v>
      </c>
      <c r="F38" s="18" t="s">
        <v>7</v>
      </c>
      <c r="G38" s="51">
        <v>2041.5</v>
      </c>
      <c r="H38" s="38"/>
      <c r="I38" s="22">
        <v>9320</v>
      </c>
      <c r="J38" s="23">
        <f>G38-D38</f>
        <v>107.5</v>
      </c>
      <c r="K38" s="167">
        <f t="shared" si="2"/>
        <v>1001900</v>
      </c>
      <c r="L38" s="25" t="str">
        <f t="shared" si="0"/>
        <v/>
      </c>
      <c r="M38" s="245"/>
      <c r="N38" s="154" t="s">
        <v>6</v>
      </c>
      <c r="O38" s="52" t="s">
        <v>23</v>
      </c>
      <c r="P38" s="27"/>
      <c r="Q38" s="27"/>
      <c r="R38" s="43"/>
      <c r="S38"/>
      <c r="T38" s="268" t="s">
        <v>400</v>
      </c>
      <c r="V38" t="str">
        <f t="shared" si="1"/>
        <v>39027101590000</v>
      </c>
    </row>
    <row r="39" spans="1:22" ht="24" customHeight="1">
      <c r="A39" s="16">
        <v>29</v>
      </c>
      <c r="B39" s="232" t="s">
        <v>48</v>
      </c>
      <c r="C39" s="18" t="s">
        <v>3</v>
      </c>
      <c r="D39" s="41">
        <v>2083</v>
      </c>
      <c r="E39" s="40" t="s">
        <v>48</v>
      </c>
      <c r="F39" s="18" t="s">
        <v>3</v>
      </c>
      <c r="G39" s="30">
        <v>2219</v>
      </c>
      <c r="H39" s="38"/>
      <c r="I39" s="22">
        <v>9320</v>
      </c>
      <c r="J39" s="23">
        <f>G39-D39</f>
        <v>136</v>
      </c>
      <c r="K39" s="167">
        <f t="shared" si="2"/>
        <v>1267520</v>
      </c>
      <c r="L39" s="25" t="str">
        <f t="shared" si="0"/>
        <v/>
      </c>
      <c r="M39" s="245"/>
      <c r="N39" s="154"/>
      <c r="O39" s="42" t="s">
        <v>50</v>
      </c>
      <c r="P39" s="27"/>
      <c r="Q39" s="27"/>
      <c r="R39" s="43"/>
      <c r="T39" s="269" t="s">
        <v>401</v>
      </c>
      <c r="U39">
        <v>1</v>
      </c>
      <c r="V39" t="str">
        <f t="shared" si="1"/>
        <v>39027101600001</v>
      </c>
    </row>
    <row r="40" spans="1:22" s="4" customFormat="1" ht="24" customHeight="1">
      <c r="A40" s="16">
        <v>30</v>
      </c>
      <c r="B40" s="49">
        <v>161</v>
      </c>
      <c r="C40" s="18" t="s">
        <v>3</v>
      </c>
      <c r="D40" s="50">
        <v>1954</v>
      </c>
      <c r="E40" s="49">
        <v>161</v>
      </c>
      <c r="F40" s="18" t="s">
        <v>3</v>
      </c>
      <c r="G40" s="51">
        <v>1811</v>
      </c>
      <c r="H40" s="38"/>
      <c r="I40" s="22">
        <v>9320</v>
      </c>
      <c r="J40" s="23"/>
      <c r="K40" s="167"/>
      <c r="L40" s="25">
        <f t="shared" si="0"/>
        <v>-143</v>
      </c>
      <c r="M40" s="245">
        <f>IF(L40&gt;0,"",I40*L40)</f>
        <v>-1332760</v>
      </c>
      <c r="N40" s="154" t="s">
        <v>6</v>
      </c>
      <c r="O40" s="52" t="s">
        <v>23</v>
      </c>
      <c r="P40" s="27"/>
      <c r="Q40" s="27"/>
      <c r="R40" s="43"/>
      <c r="S40"/>
      <c r="T40" s="268" t="s">
        <v>402</v>
      </c>
      <c r="V40" t="str">
        <f t="shared" si="1"/>
        <v>39027101610000</v>
      </c>
    </row>
    <row r="41" spans="1:22" ht="24" customHeight="1">
      <c r="A41" s="16">
        <v>31</v>
      </c>
      <c r="B41" s="231" t="s">
        <v>68</v>
      </c>
      <c r="C41" s="18" t="s">
        <v>77</v>
      </c>
      <c r="D41" s="19">
        <v>1224</v>
      </c>
      <c r="E41" s="36" t="str">
        <f>B41</f>
        <v>164-3</v>
      </c>
      <c r="F41" s="18" t="str">
        <f>C41</f>
        <v>구거</v>
      </c>
      <c r="G41" s="20">
        <v>1184.2</v>
      </c>
      <c r="H41" s="71"/>
      <c r="I41" s="22">
        <v>3790</v>
      </c>
      <c r="J41" s="23"/>
      <c r="K41" s="167"/>
      <c r="L41" s="25">
        <f t="shared" si="0"/>
        <v>-39.799999999999955</v>
      </c>
      <c r="M41" s="245">
        <f>ROUNDDOWN(IF(L41&gt;0,"",I41*L41),-1)</f>
        <v>-150840</v>
      </c>
      <c r="N41" s="154"/>
      <c r="O41" s="26" t="s">
        <v>78</v>
      </c>
      <c r="P41" s="27"/>
      <c r="Q41" s="27"/>
      <c r="R41" s="43"/>
      <c r="T41" s="69" t="s">
        <v>403</v>
      </c>
      <c r="U41">
        <v>3</v>
      </c>
      <c r="V41" t="str">
        <f t="shared" si="1"/>
        <v>39027101640003</v>
      </c>
    </row>
    <row r="42" spans="1:22" s="4" customFormat="1" ht="24" customHeight="1">
      <c r="A42" s="16">
        <v>32</v>
      </c>
      <c r="B42" s="228">
        <v>168</v>
      </c>
      <c r="C42" s="18" t="s">
        <v>1</v>
      </c>
      <c r="D42" s="37">
        <v>806</v>
      </c>
      <c r="E42" s="36">
        <f>B42</f>
        <v>168</v>
      </c>
      <c r="F42" s="18" t="str">
        <f>C42</f>
        <v>대</v>
      </c>
      <c r="G42" s="30">
        <v>737.1</v>
      </c>
      <c r="H42" s="38"/>
      <c r="I42" s="22">
        <v>12500</v>
      </c>
      <c r="J42" s="23"/>
      <c r="K42" s="167"/>
      <c r="L42" s="25">
        <f t="shared" si="0"/>
        <v>-68.899999999999977</v>
      </c>
      <c r="M42" s="245">
        <f>IF(L42&gt;0,"",I42*L42)</f>
        <v>-861249.99999999977</v>
      </c>
      <c r="N42" s="154"/>
      <c r="O42" s="39" t="s">
        <v>60</v>
      </c>
      <c r="P42" s="27"/>
      <c r="Q42" s="27"/>
      <c r="R42" s="27"/>
      <c r="S42"/>
      <c r="T42" s="58" t="s">
        <v>404</v>
      </c>
      <c r="V42" t="str">
        <f t="shared" si="1"/>
        <v>39027101680000</v>
      </c>
    </row>
    <row r="43" spans="1:22" ht="24" customHeight="1">
      <c r="A43" s="16">
        <v>33</v>
      </c>
      <c r="B43" s="53" t="s">
        <v>39</v>
      </c>
      <c r="C43" s="18" t="s">
        <v>3</v>
      </c>
      <c r="D43" s="65">
        <v>752</v>
      </c>
      <c r="E43" s="53" t="s">
        <v>39</v>
      </c>
      <c r="F43" s="18" t="s">
        <v>3</v>
      </c>
      <c r="G43" s="30">
        <v>797.1</v>
      </c>
      <c r="H43" s="38"/>
      <c r="I43" s="66">
        <v>9450</v>
      </c>
      <c r="J43" s="23">
        <f>G43-D43</f>
        <v>45.100000000000023</v>
      </c>
      <c r="K43" s="167">
        <f t="shared" si="2"/>
        <v>426190</v>
      </c>
      <c r="L43" s="25" t="str">
        <f t="shared" ref="L43:L74" si="7">IF(G43-D43&gt;0,"",G43-D43)</f>
        <v/>
      </c>
      <c r="M43" s="245"/>
      <c r="N43" s="154"/>
      <c r="O43" s="52" t="s">
        <v>26</v>
      </c>
      <c r="P43" s="27"/>
      <c r="Q43" s="27"/>
      <c r="R43" s="43"/>
      <c r="T43" s="267" t="s">
        <v>405</v>
      </c>
      <c r="U43">
        <v>1</v>
      </c>
      <c r="V43" t="str">
        <f t="shared" si="1"/>
        <v>39027101690001</v>
      </c>
    </row>
    <row r="44" spans="1:22" s="4" customFormat="1" ht="24" customHeight="1">
      <c r="A44" s="16">
        <v>34</v>
      </c>
      <c r="B44" s="231">
        <v>170</v>
      </c>
      <c r="C44" s="18" t="s">
        <v>3</v>
      </c>
      <c r="D44" s="19">
        <v>1524</v>
      </c>
      <c r="E44" s="36">
        <f>B44</f>
        <v>170</v>
      </c>
      <c r="F44" s="18" t="str">
        <f>C44</f>
        <v>전</v>
      </c>
      <c r="G44" s="60">
        <v>1461</v>
      </c>
      <c r="H44" s="38"/>
      <c r="I44" s="22">
        <v>7080</v>
      </c>
      <c r="J44" s="23"/>
      <c r="K44" s="167"/>
      <c r="L44" s="25">
        <f t="shared" si="7"/>
        <v>-63</v>
      </c>
      <c r="M44" s="245">
        <f>IF(L44&gt;0,"",I44*L44)</f>
        <v>-446040</v>
      </c>
      <c r="N44" s="154"/>
      <c r="O44" s="26" t="s">
        <v>64</v>
      </c>
      <c r="P44" s="27"/>
      <c r="Q44" s="27"/>
      <c r="R44" s="43"/>
      <c r="S44"/>
      <c r="T44" s="69" t="s">
        <v>406</v>
      </c>
      <c r="V44" t="str">
        <f t="shared" si="1"/>
        <v>39027101700000</v>
      </c>
    </row>
    <row r="45" spans="1:22" ht="24" customHeight="1">
      <c r="A45" s="16">
        <v>35</v>
      </c>
      <c r="B45" s="232">
        <v>178</v>
      </c>
      <c r="C45" s="18" t="s">
        <v>7</v>
      </c>
      <c r="D45" s="41">
        <v>655</v>
      </c>
      <c r="E45" s="40">
        <v>178</v>
      </c>
      <c r="F45" s="18" t="s">
        <v>7</v>
      </c>
      <c r="G45" s="30">
        <v>705</v>
      </c>
      <c r="H45" s="38"/>
      <c r="I45" s="22">
        <v>6200</v>
      </c>
      <c r="J45" s="23">
        <f>G45-D45</f>
        <v>50</v>
      </c>
      <c r="K45" s="167">
        <f t="shared" si="2"/>
        <v>310000</v>
      </c>
      <c r="L45" s="25" t="str">
        <f t="shared" si="7"/>
        <v/>
      </c>
      <c r="M45" s="245"/>
      <c r="N45" s="154"/>
      <c r="O45" s="42" t="s">
        <v>51</v>
      </c>
      <c r="P45" s="27"/>
      <c r="Q45" s="27"/>
      <c r="R45" s="27"/>
      <c r="T45" s="269" t="s">
        <v>407</v>
      </c>
      <c r="V45" t="str">
        <f t="shared" si="1"/>
        <v>39027101780000</v>
      </c>
    </row>
    <row r="46" spans="1:22" ht="24" customHeight="1">
      <c r="A46" s="16">
        <v>36</v>
      </c>
      <c r="B46" s="231">
        <v>179</v>
      </c>
      <c r="C46" s="18" t="s">
        <v>7</v>
      </c>
      <c r="D46" s="47">
        <v>664</v>
      </c>
      <c r="E46" s="36">
        <f>B46</f>
        <v>179</v>
      </c>
      <c r="F46" s="18" t="str">
        <f>C46</f>
        <v>답</v>
      </c>
      <c r="G46" s="18">
        <v>641</v>
      </c>
      <c r="H46" s="21"/>
      <c r="I46" s="22">
        <v>5890</v>
      </c>
      <c r="J46" s="23"/>
      <c r="K46" s="167"/>
      <c r="L46" s="25">
        <f t="shared" si="7"/>
        <v>-23</v>
      </c>
      <c r="M46" s="245">
        <f>IF(L46&gt;0,"",I46*L46)</f>
        <v>-135470</v>
      </c>
      <c r="N46" s="154" t="s">
        <v>6</v>
      </c>
      <c r="O46" s="26" t="s">
        <v>105</v>
      </c>
      <c r="P46" s="27"/>
      <c r="Q46" s="27"/>
      <c r="R46" s="27"/>
      <c r="T46" s="69" t="s">
        <v>408</v>
      </c>
      <c r="V46" t="str">
        <f t="shared" si="1"/>
        <v>39027101790000</v>
      </c>
    </row>
    <row r="47" spans="1:22" ht="24" customHeight="1">
      <c r="A47" s="16">
        <v>37</v>
      </c>
      <c r="B47" s="233">
        <v>182</v>
      </c>
      <c r="C47" s="18" t="s">
        <v>7</v>
      </c>
      <c r="D47" s="29">
        <v>376</v>
      </c>
      <c r="E47" s="36">
        <f>B47</f>
        <v>182</v>
      </c>
      <c r="F47" s="18" t="str">
        <f>C47</f>
        <v>답</v>
      </c>
      <c r="G47" s="30">
        <v>259.3</v>
      </c>
      <c r="H47" s="71"/>
      <c r="I47" s="22">
        <v>2640</v>
      </c>
      <c r="J47" s="23"/>
      <c r="K47" s="167"/>
      <c r="L47" s="25">
        <f t="shared" si="7"/>
        <v>-116.69999999999999</v>
      </c>
      <c r="M47" s="245">
        <f>ROUNDDOWN(IF(L47&gt;0,"",I47*L47),-1)</f>
        <v>-308080</v>
      </c>
      <c r="N47" s="154"/>
      <c r="O47" s="26" t="s">
        <v>78</v>
      </c>
      <c r="P47" s="27"/>
      <c r="Q47" s="27"/>
      <c r="R47" s="43"/>
      <c r="T47" s="270" t="s">
        <v>409</v>
      </c>
      <c r="V47" t="str">
        <f t="shared" si="1"/>
        <v>39027101820000</v>
      </c>
    </row>
    <row r="48" spans="1:22" ht="24" customHeight="1">
      <c r="A48" s="16">
        <v>38</v>
      </c>
      <c r="B48" s="232" t="s">
        <v>49</v>
      </c>
      <c r="C48" s="18" t="s">
        <v>3</v>
      </c>
      <c r="D48" s="41">
        <v>1587</v>
      </c>
      <c r="E48" s="40" t="s">
        <v>49</v>
      </c>
      <c r="F48" s="18" t="s">
        <v>3</v>
      </c>
      <c r="G48" s="30">
        <v>1541</v>
      </c>
      <c r="H48" s="38"/>
      <c r="I48" s="22">
        <v>7650</v>
      </c>
      <c r="J48" s="23"/>
      <c r="K48" s="167"/>
      <c r="L48" s="25">
        <f t="shared" si="7"/>
        <v>-46</v>
      </c>
      <c r="M48" s="245">
        <f>IF(L48&gt;0,"",I48*L48)</f>
        <v>-351900</v>
      </c>
      <c r="N48" s="154"/>
      <c r="O48" s="42" t="s">
        <v>50</v>
      </c>
      <c r="P48" s="27"/>
      <c r="Q48" s="27"/>
      <c r="R48" s="27"/>
      <c r="T48" s="269" t="s">
        <v>410</v>
      </c>
      <c r="U48">
        <v>1</v>
      </c>
      <c r="V48" t="str">
        <f t="shared" si="1"/>
        <v>39027101830001</v>
      </c>
    </row>
    <row r="49" spans="1:22" ht="24" customHeight="1">
      <c r="A49" s="16">
        <v>39</v>
      </c>
      <c r="B49" s="229" t="s">
        <v>36</v>
      </c>
      <c r="C49" s="18" t="s">
        <v>3</v>
      </c>
      <c r="D49" s="59">
        <v>1446</v>
      </c>
      <c r="E49" s="44" t="str">
        <f>B49</f>
        <v>183-2</v>
      </c>
      <c r="F49" s="18" t="str">
        <f>C49</f>
        <v>전</v>
      </c>
      <c r="G49" s="60">
        <v>1411.4</v>
      </c>
      <c r="H49" s="38"/>
      <c r="I49" s="22">
        <v>9880</v>
      </c>
      <c r="J49" s="23"/>
      <c r="K49" s="167"/>
      <c r="L49" s="25">
        <f t="shared" si="7"/>
        <v>-34.599999999999909</v>
      </c>
      <c r="M49" s="245">
        <f>ROUNDDOWN(IF(L49&gt;0,"",I49*L49),-1)</f>
        <v>-341840</v>
      </c>
      <c r="N49" s="154"/>
      <c r="O49" s="46" t="s">
        <v>38</v>
      </c>
      <c r="P49" s="27"/>
      <c r="Q49" s="27"/>
      <c r="R49" s="43"/>
      <c r="T49" s="262" t="s">
        <v>410</v>
      </c>
      <c r="U49">
        <v>2</v>
      </c>
      <c r="V49" t="str">
        <f t="shared" si="1"/>
        <v>39027101830002</v>
      </c>
    </row>
    <row r="50" spans="1:22" ht="24" customHeight="1">
      <c r="A50" s="16">
        <v>40</v>
      </c>
      <c r="B50" s="234" t="s">
        <v>40</v>
      </c>
      <c r="C50" s="18" t="s">
        <v>3</v>
      </c>
      <c r="D50" s="62">
        <v>1329</v>
      </c>
      <c r="E50" s="61" t="s">
        <v>40</v>
      </c>
      <c r="F50" s="18" t="s">
        <v>3</v>
      </c>
      <c r="G50" s="60">
        <v>976.9</v>
      </c>
      <c r="H50" s="38"/>
      <c r="I50" s="63">
        <v>8490</v>
      </c>
      <c r="J50" s="23"/>
      <c r="K50" s="167"/>
      <c r="L50" s="25">
        <f t="shared" si="7"/>
        <v>-352.1</v>
      </c>
      <c r="M50" s="245">
        <f>ROUNDDOWN(IF(L50&gt;0,"",I50*L50),-1)</f>
        <v>-2989320</v>
      </c>
      <c r="N50" s="154"/>
      <c r="O50" s="64" t="s">
        <v>42</v>
      </c>
      <c r="P50" s="27"/>
      <c r="Q50" s="27"/>
      <c r="R50" s="43"/>
      <c r="T50" s="78" t="s">
        <v>411</v>
      </c>
      <c r="U50">
        <v>1</v>
      </c>
      <c r="V50" t="str">
        <f t="shared" si="1"/>
        <v>39027101850001</v>
      </c>
    </row>
    <row r="51" spans="1:22" s="4" customFormat="1" ht="24" customHeight="1">
      <c r="A51" s="16">
        <v>41</v>
      </c>
      <c r="B51" s="230" t="s">
        <v>110</v>
      </c>
      <c r="C51" s="18" t="s">
        <v>7</v>
      </c>
      <c r="D51" s="200">
        <v>1438</v>
      </c>
      <c r="E51" s="36" t="str">
        <f t="shared" ref="E51:F55" si="8">B51</f>
        <v>187-1</v>
      </c>
      <c r="F51" s="18" t="str">
        <f t="shared" si="8"/>
        <v>답</v>
      </c>
      <c r="G51" s="200">
        <v>1374.1</v>
      </c>
      <c r="H51" s="112"/>
      <c r="I51" s="22">
        <v>7650</v>
      </c>
      <c r="J51" s="23"/>
      <c r="K51" s="167"/>
      <c r="L51" s="25">
        <f t="shared" si="7"/>
        <v>-63.900000000000091</v>
      </c>
      <c r="M51" s="245">
        <f>ROUNDDOWN(IF(L51&gt;0,"",I51*L51),-1)</f>
        <v>-488830</v>
      </c>
      <c r="N51" s="154" t="s">
        <v>6</v>
      </c>
      <c r="O51" s="219" t="s">
        <v>16</v>
      </c>
      <c r="P51" s="27"/>
      <c r="Q51" s="27"/>
      <c r="R51" s="27"/>
      <c r="T51" s="263" t="s">
        <v>412</v>
      </c>
      <c r="U51" s="4">
        <v>1</v>
      </c>
      <c r="V51" t="str">
        <f t="shared" si="1"/>
        <v>39027101870001</v>
      </c>
    </row>
    <row r="52" spans="1:22" ht="24" customHeight="1">
      <c r="A52" s="16">
        <v>42</v>
      </c>
      <c r="B52" s="233" t="s">
        <v>11</v>
      </c>
      <c r="C52" s="18" t="s">
        <v>7</v>
      </c>
      <c r="D52" s="29">
        <v>867</v>
      </c>
      <c r="E52" s="28" t="str">
        <f t="shared" si="8"/>
        <v>189-1</v>
      </c>
      <c r="F52" s="18" t="str">
        <f t="shared" si="8"/>
        <v>답</v>
      </c>
      <c r="G52" s="30">
        <v>812</v>
      </c>
      <c r="H52" s="31"/>
      <c r="I52" s="32">
        <v>8490</v>
      </c>
      <c r="J52" s="23"/>
      <c r="K52" s="167"/>
      <c r="L52" s="25">
        <f t="shared" si="7"/>
        <v>-55</v>
      </c>
      <c r="M52" s="245">
        <f>IF(L52&gt;0,"",I52*L52)</f>
        <v>-466950</v>
      </c>
      <c r="N52" s="154"/>
      <c r="O52" s="33" t="s">
        <v>5</v>
      </c>
      <c r="P52" s="27"/>
      <c r="Q52" s="27"/>
      <c r="R52" s="34"/>
      <c r="T52" s="270" t="s">
        <v>413</v>
      </c>
      <c r="U52">
        <v>1</v>
      </c>
      <c r="V52" t="str">
        <f t="shared" si="1"/>
        <v>39027101890001</v>
      </c>
    </row>
    <row r="53" spans="1:22" s="4" customFormat="1" ht="24" customHeight="1">
      <c r="A53" s="16">
        <v>43</v>
      </c>
      <c r="B53" s="228" t="s">
        <v>30</v>
      </c>
      <c r="C53" s="18" t="s">
        <v>7</v>
      </c>
      <c r="D53" s="55">
        <v>1752</v>
      </c>
      <c r="E53" s="36" t="str">
        <f t="shared" si="8"/>
        <v>189-2</v>
      </c>
      <c r="F53" s="18" t="str">
        <f t="shared" si="8"/>
        <v>답</v>
      </c>
      <c r="G53" s="51">
        <v>1845.3</v>
      </c>
      <c r="H53" s="38"/>
      <c r="I53" s="22">
        <v>8490</v>
      </c>
      <c r="J53" s="23">
        <f>G53-D53</f>
        <v>93.299999999999955</v>
      </c>
      <c r="K53" s="167">
        <f t="shared" si="2"/>
        <v>792110</v>
      </c>
      <c r="L53" s="25" t="str">
        <f t="shared" si="7"/>
        <v/>
      </c>
      <c r="M53" s="245"/>
      <c r="N53" s="154" t="s">
        <v>6</v>
      </c>
      <c r="O53" s="39" t="s">
        <v>32</v>
      </c>
      <c r="P53" s="27"/>
      <c r="Q53" s="27"/>
      <c r="R53" s="43"/>
      <c r="T53" s="58" t="s">
        <v>413</v>
      </c>
      <c r="U53" s="4">
        <v>2</v>
      </c>
      <c r="V53" t="str">
        <f t="shared" si="1"/>
        <v>39027101890002</v>
      </c>
    </row>
    <row r="54" spans="1:22" ht="24" customHeight="1">
      <c r="A54" s="16">
        <v>44</v>
      </c>
      <c r="B54" s="230" t="s">
        <v>134</v>
      </c>
      <c r="C54" s="18" t="s">
        <v>3</v>
      </c>
      <c r="D54" s="200">
        <v>1038</v>
      </c>
      <c r="E54" s="36" t="str">
        <f t="shared" si="8"/>
        <v>190-2</v>
      </c>
      <c r="F54" s="18" t="str">
        <f t="shared" si="8"/>
        <v>전</v>
      </c>
      <c r="G54" s="200">
        <v>948.8</v>
      </c>
      <c r="H54" s="112"/>
      <c r="I54" s="22">
        <v>8490</v>
      </c>
      <c r="J54" s="23"/>
      <c r="K54" s="167"/>
      <c r="L54" s="25">
        <f t="shared" si="7"/>
        <v>-89.200000000000045</v>
      </c>
      <c r="M54" s="245">
        <f>ROUNDDOWN(IF(L54&gt;0,"",I54*L54),-1)</f>
        <v>-757300</v>
      </c>
      <c r="N54" s="154"/>
      <c r="O54" s="219" t="s">
        <v>135</v>
      </c>
      <c r="P54" s="27"/>
      <c r="Q54" s="27"/>
      <c r="R54" s="27"/>
      <c r="T54" s="263" t="s">
        <v>414</v>
      </c>
      <c r="U54">
        <v>2</v>
      </c>
      <c r="V54" t="str">
        <f t="shared" si="1"/>
        <v>39027101900002</v>
      </c>
    </row>
    <row r="55" spans="1:22" ht="24" customHeight="1">
      <c r="A55" s="16">
        <v>45</v>
      </c>
      <c r="B55" s="230">
        <v>192</v>
      </c>
      <c r="C55" s="18" t="s">
        <v>7</v>
      </c>
      <c r="D55" s="200">
        <v>1663</v>
      </c>
      <c r="E55" s="36">
        <f t="shared" si="8"/>
        <v>192</v>
      </c>
      <c r="F55" s="18" t="str">
        <f t="shared" si="8"/>
        <v>답</v>
      </c>
      <c r="G55" s="200">
        <v>1694.4</v>
      </c>
      <c r="H55" s="112"/>
      <c r="I55" s="22">
        <v>7650</v>
      </c>
      <c r="J55" s="23">
        <f>G55-D55</f>
        <v>31.400000000000091</v>
      </c>
      <c r="K55" s="167">
        <f t="shared" si="2"/>
        <v>240210</v>
      </c>
      <c r="L55" s="25" t="str">
        <f t="shared" si="7"/>
        <v/>
      </c>
      <c r="M55" s="245"/>
      <c r="N55" s="154"/>
      <c r="O55" s="219" t="s">
        <v>114</v>
      </c>
      <c r="P55" s="27"/>
      <c r="Q55" s="27"/>
      <c r="R55" s="27"/>
      <c r="T55" s="263" t="s">
        <v>415</v>
      </c>
      <c r="V55" t="str">
        <f t="shared" si="1"/>
        <v>39027101920000</v>
      </c>
    </row>
    <row r="56" spans="1:22" ht="24" customHeight="1">
      <c r="A56" s="16">
        <v>46</v>
      </c>
      <c r="B56" s="228">
        <v>194</v>
      </c>
      <c r="C56" s="18" t="s">
        <v>3</v>
      </c>
      <c r="D56" s="37">
        <v>969</v>
      </c>
      <c r="E56" s="36">
        <v>194</v>
      </c>
      <c r="F56" s="18" t="s">
        <v>3</v>
      </c>
      <c r="G56" s="30">
        <v>1039.3</v>
      </c>
      <c r="H56" s="38"/>
      <c r="I56" s="22">
        <v>7650</v>
      </c>
      <c r="J56" s="23">
        <f>G56-D56</f>
        <v>70.299999999999955</v>
      </c>
      <c r="K56" s="167">
        <f t="shared" si="2"/>
        <v>537790</v>
      </c>
      <c r="L56" s="25" t="str">
        <f t="shared" si="7"/>
        <v/>
      </c>
      <c r="M56" s="245"/>
      <c r="N56" s="154"/>
      <c r="O56" s="39" t="s">
        <v>60</v>
      </c>
      <c r="P56" s="27"/>
      <c r="Q56" s="27"/>
      <c r="R56" s="27"/>
      <c r="T56" s="58" t="s">
        <v>416</v>
      </c>
      <c r="V56" t="str">
        <f t="shared" si="1"/>
        <v>39027101940000</v>
      </c>
    </row>
    <row r="57" spans="1:22" ht="24" customHeight="1">
      <c r="A57" s="16">
        <v>47</v>
      </c>
      <c r="B57" s="49">
        <v>195</v>
      </c>
      <c r="C57" s="18" t="s">
        <v>7</v>
      </c>
      <c r="D57" s="65">
        <v>2995</v>
      </c>
      <c r="E57" s="49">
        <v>195</v>
      </c>
      <c r="F57" s="18" t="s">
        <v>7</v>
      </c>
      <c r="G57" s="30">
        <v>3044.5</v>
      </c>
      <c r="H57" s="38"/>
      <c r="I57" s="67">
        <v>7650</v>
      </c>
      <c r="J57" s="23">
        <f>G57-D57</f>
        <v>49.5</v>
      </c>
      <c r="K57" s="167">
        <f t="shared" si="2"/>
        <v>378670</v>
      </c>
      <c r="L57" s="25" t="str">
        <f t="shared" si="7"/>
        <v/>
      </c>
      <c r="M57" s="245"/>
      <c r="N57" s="154"/>
      <c r="O57" s="52" t="s">
        <v>26</v>
      </c>
      <c r="P57" s="27"/>
      <c r="Q57" s="27"/>
      <c r="R57" s="43"/>
      <c r="T57" s="268" t="s">
        <v>417</v>
      </c>
      <c r="V57" t="str">
        <f t="shared" si="1"/>
        <v>39027101950000</v>
      </c>
    </row>
    <row r="58" spans="1:22" ht="24" customHeight="1">
      <c r="A58" s="16">
        <v>48</v>
      </c>
      <c r="B58" s="230">
        <v>198</v>
      </c>
      <c r="C58" s="18" t="s">
        <v>3</v>
      </c>
      <c r="D58" s="200">
        <v>2248</v>
      </c>
      <c r="E58" s="36">
        <f t="shared" ref="E58:F60" si="9">B58</f>
        <v>198</v>
      </c>
      <c r="F58" s="18" t="str">
        <f t="shared" si="9"/>
        <v>전</v>
      </c>
      <c r="G58" s="200">
        <v>2334</v>
      </c>
      <c r="H58" s="112"/>
      <c r="I58" s="22">
        <v>8400</v>
      </c>
      <c r="J58" s="23">
        <f>G58-D58</f>
        <v>86</v>
      </c>
      <c r="K58" s="167">
        <f t="shared" si="2"/>
        <v>722400</v>
      </c>
      <c r="L58" s="25" t="str">
        <f t="shared" si="7"/>
        <v/>
      </c>
      <c r="M58" s="245"/>
      <c r="N58" s="154"/>
      <c r="O58" s="219" t="s">
        <v>121</v>
      </c>
      <c r="P58" s="27"/>
      <c r="Q58" s="27"/>
      <c r="R58" s="27"/>
      <c r="T58" s="263" t="s">
        <v>418</v>
      </c>
      <c r="V58" t="str">
        <f t="shared" si="1"/>
        <v>39027101980000</v>
      </c>
    </row>
    <row r="59" spans="1:22" ht="24" customHeight="1">
      <c r="A59" s="16">
        <v>49</v>
      </c>
      <c r="B59" s="231" t="s">
        <v>103</v>
      </c>
      <c r="C59" s="18" t="s">
        <v>3</v>
      </c>
      <c r="D59" s="47">
        <v>1127</v>
      </c>
      <c r="E59" s="36" t="str">
        <f t="shared" si="9"/>
        <v>199-1</v>
      </c>
      <c r="F59" s="18" t="str">
        <f t="shared" si="9"/>
        <v>전</v>
      </c>
      <c r="G59" s="18">
        <v>1169.2</v>
      </c>
      <c r="H59" s="21"/>
      <c r="I59" s="22">
        <v>7650</v>
      </c>
      <c r="J59" s="23">
        <f>G59-D59</f>
        <v>42.200000000000045</v>
      </c>
      <c r="K59" s="167">
        <f t="shared" si="2"/>
        <v>322830</v>
      </c>
      <c r="L59" s="25" t="str">
        <f t="shared" si="7"/>
        <v/>
      </c>
      <c r="M59" s="245"/>
      <c r="N59" s="154" t="s">
        <v>6</v>
      </c>
      <c r="O59" s="26" t="s">
        <v>104</v>
      </c>
      <c r="P59" s="27"/>
      <c r="Q59" s="27"/>
      <c r="R59" s="27"/>
      <c r="T59" s="69" t="s">
        <v>419</v>
      </c>
      <c r="U59">
        <v>1</v>
      </c>
      <c r="V59" t="str">
        <f t="shared" si="1"/>
        <v>39027101990001</v>
      </c>
    </row>
    <row r="60" spans="1:22" ht="24" customHeight="1">
      <c r="A60" s="16">
        <v>50</v>
      </c>
      <c r="B60" s="230" t="s">
        <v>122</v>
      </c>
      <c r="C60" s="18" t="s">
        <v>3</v>
      </c>
      <c r="D60" s="200">
        <v>2218</v>
      </c>
      <c r="E60" s="36" t="str">
        <f t="shared" si="9"/>
        <v>199-2</v>
      </c>
      <c r="F60" s="18" t="str">
        <f t="shared" si="9"/>
        <v>전</v>
      </c>
      <c r="G60" s="200">
        <v>1967.7</v>
      </c>
      <c r="H60" s="112"/>
      <c r="I60" s="22">
        <v>8400</v>
      </c>
      <c r="J60" s="23"/>
      <c r="K60" s="167"/>
      <c r="L60" s="25">
        <f t="shared" si="7"/>
        <v>-250.29999999999995</v>
      </c>
      <c r="M60" s="245">
        <f>IF(L60&gt;0,"",I60*L60)</f>
        <v>-2102519.9999999995</v>
      </c>
      <c r="N60" s="154"/>
      <c r="O60" s="219" t="s">
        <v>123</v>
      </c>
      <c r="P60" s="27"/>
      <c r="Q60" s="27"/>
      <c r="R60" s="27"/>
      <c r="T60" s="263" t="s">
        <v>419</v>
      </c>
      <c r="U60">
        <v>2</v>
      </c>
      <c r="V60" t="str">
        <f t="shared" si="1"/>
        <v>39027101990002</v>
      </c>
    </row>
    <row r="61" spans="1:22" ht="24" customHeight="1">
      <c r="A61" s="16">
        <v>51</v>
      </c>
      <c r="B61" s="234" t="s">
        <v>41</v>
      </c>
      <c r="C61" s="18" t="s">
        <v>3</v>
      </c>
      <c r="D61" s="62">
        <v>1570</v>
      </c>
      <c r="E61" s="61" t="s">
        <v>41</v>
      </c>
      <c r="F61" s="18" t="s">
        <v>3</v>
      </c>
      <c r="G61" s="60">
        <v>1773.6</v>
      </c>
      <c r="H61" s="48"/>
      <c r="I61" s="63">
        <v>8400</v>
      </c>
      <c r="J61" s="23">
        <f>G61-D61</f>
        <v>203.59999999999991</v>
      </c>
      <c r="K61" s="167">
        <f t="shared" si="2"/>
        <v>1710240</v>
      </c>
      <c r="L61" s="25" t="str">
        <f t="shared" si="7"/>
        <v/>
      </c>
      <c r="M61" s="245"/>
      <c r="N61" s="154"/>
      <c r="O61" s="64" t="s">
        <v>42</v>
      </c>
      <c r="P61" s="27"/>
      <c r="Q61" s="27"/>
      <c r="R61" s="43"/>
      <c r="T61" s="78" t="s">
        <v>420</v>
      </c>
      <c r="U61">
        <v>2</v>
      </c>
      <c r="V61" t="str">
        <f t="shared" si="1"/>
        <v>39027102000002</v>
      </c>
    </row>
    <row r="62" spans="1:22" ht="24" customHeight="1">
      <c r="A62" s="16">
        <v>52</v>
      </c>
      <c r="B62" s="228" t="s">
        <v>91</v>
      </c>
      <c r="C62" s="18" t="s">
        <v>7</v>
      </c>
      <c r="D62" s="37">
        <v>1068</v>
      </c>
      <c r="E62" s="36" t="str">
        <f t="shared" ref="E62:F64" si="10">B62</f>
        <v>201-1</v>
      </c>
      <c r="F62" s="18" t="str">
        <f t="shared" si="10"/>
        <v>답</v>
      </c>
      <c r="G62" s="30">
        <v>1057.4000000000001</v>
      </c>
      <c r="H62" s="38"/>
      <c r="I62" s="22">
        <v>7650</v>
      </c>
      <c r="J62" s="23"/>
      <c r="K62" s="167"/>
      <c r="L62" s="25">
        <f t="shared" si="7"/>
        <v>-10.599999999999909</v>
      </c>
      <c r="M62" s="245">
        <f>IF(L62&gt;0,"",I62*L62)</f>
        <v>-81089.999999999302</v>
      </c>
      <c r="N62" s="154"/>
      <c r="O62" s="39" t="s">
        <v>92</v>
      </c>
      <c r="P62" s="27"/>
      <c r="Q62" s="27"/>
      <c r="R62" s="43"/>
      <c r="T62" s="58" t="s">
        <v>421</v>
      </c>
      <c r="U62">
        <v>1</v>
      </c>
      <c r="V62" t="str">
        <f t="shared" si="1"/>
        <v>39027102010001</v>
      </c>
    </row>
    <row r="63" spans="1:22" ht="24" customHeight="1">
      <c r="A63" s="16">
        <v>53</v>
      </c>
      <c r="B63" s="228" t="s">
        <v>27</v>
      </c>
      <c r="C63" s="18" t="s">
        <v>28</v>
      </c>
      <c r="D63" s="55">
        <v>2410</v>
      </c>
      <c r="E63" s="36" t="str">
        <f t="shared" si="10"/>
        <v>201-2</v>
      </c>
      <c r="F63" s="18" t="str">
        <f t="shared" si="10"/>
        <v>과수원</v>
      </c>
      <c r="G63" s="51">
        <v>2441.6999999999998</v>
      </c>
      <c r="H63" s="38"/>
      <c r="I63" s="22">
        <v>7650</v>
      </c>
      <c r="J63" s="23">
        <f>G63-D63</f>
        <v>31.699999999999818</v>
      </c>
      <c r="K63" s="167">
        <f t="shared" si="2"/>
        <v>242500</v>
      </c>
      <c r="L63" s="25" t="str">
        <f t="shared" si="7"/>
        <v/>
      </c>
      <c r="M63" s="245"/>
      <c r="N63" s="154" t="s">
        <v>6</v>
      </c>
      <c r="O63" s="39" t="s">
        <v>26</v>
      </c>
      <c r="P63" s="27"/>
      <c r="Q63" s="27"/>
      <c r="R63" s="43"/>
      <c r="T63" s="58" t="s">
        <v>421</v>
      </c>
      <c r="U63">
        <v>2</v>
      </c>
      <c r="V63" t="str">
        <f t="shared" si="1"/>
        <v>39027102010002</v>
      </c>
    </row>
    <row r="64" spans="1:22" ht="24" customHeight="1">
      <c r="A64" s="16">
        <v>54</v>
      </c>
      <c r="B64" s="234">
        <v>202</v>
      </c>
      <c r="C64" s="18" t="s">
        <v>7</v>
      </c>
      <c r="D64" s="211">
        <v>1157</v>
      </c>
      <c r="E64" s="36">
        <f t="shared" si="10"/>
        <v>202</v>
      </c>
      <c r="F64" s="18" t="str">
        <f t="shared" si="10"/>
        <v>답</v>
      </c>
      <c r="G64" s="16">
        <v>1112.5999999999999</v>
      </c>
      <c r="H64" s="21"/>
      <c r="I64" s="63">
        <v>7650</v>
      </c>
      <c r="J64" s="23"/>
      <c r="K64" s="167"/>
      <c r="L64" s="25">
        <f t="shared" si="7"/>
        <v>-44.400000000000091</v>
      </c>
      <c r="M64" s="245">
        <f>IF(L64&gt;0,"",I64*L64)</f>
        <v>-339660.0000000007</v>
      </c>
      <c r="N64" s="154" t="s">
        <v>6</v>
      </c>
      <c r="O64" s="64" t="s">
        <v>106</v>
      </c>
      <c r="P64" s="27"/>
      <c r="Q64" s="27"/>
      <c r="R64" s="27"/>
      <c r="T64" s="78" t="s">
        <v>422</v>
      </c>
      <c r="V64" t="str">
        <f t="shared" si="1"/>
        <v>39027102020000</v>
      </c>
    </row>
    <row r="65" spans="1:22" ht="24" customHeight="1">
      <c r="A65" s="16">
        <v>55</v>
      </c>
      <c r="B65" s="228">
        <v>205</v>
      </c>
      <c r="C65" s="18" t="s">
        <v>7</v>
      </c>
      <c r="D65" s="37">
        <v>1250</v>
      </c>
      <c r="E65" s="58">
        <f>B65</f>
        <v>205</v>
      </c>
      <c r="F65" s="18" t="s">
        <v>7</v>
      </c>
      <c r="G65" s="30">
        <v>1322.2</v>
      </c>
      <c r="H65" s="38"/>
      <c r="I65" s="22">
        <v>7650</v>
      </c>
      <c r="J65" s="23">
        <f>G65-D65</f>
        <v>72.200000000000045</v>
      </c>
      <c r="K65" s="167">
        <f t="shared" si="2"/>
        <v>552330</v>
      </c>
      <c r="L65" s="25" t="str">
        <f t="shared" si="7"/>
        <v/>
      </c>
      <c r="M65" s="245"/>
      <c r="N65" s="154"/>
      <c r="O65" s="39" t="s">
        <v>53</v>
      </c>
      <c r="P65" s="27"/>
      <c r="Q65" s="27"/>
      <c r="R65" s="27"/>
      <c r="T65" s="58" t="s">
        <v>423</v>
      </c>
      <c r="V65" t="str">
        <f t="shared" si="1"/>
        <v>39027102050000</v>
      </c>
    </row>
    <row r="66" spans="1:22" ht="24" customHeight="1">
      <c r="A66" s="16">
        <v>56</v>
      </c>
      <c r="B66" s="231">
        <v>206</v>
      </c>
      <c r="C66" s="18" t="s">
        <v>7</v>
      </c>
      <c r="D66" s="47">
        <v>2238</v>
      </c>
      <c r="E66" s="36">
        <f>B66</f>
        <v>206</v>
      </c>
      <c r="F66" s="18" t="str">
        <f>C66</f>
        <v>답</v>
      </c>
      <c r="G66" s="18">
        <v>2296.9</v>
      </c>
      <c r="H66" s="48"/>
      <c r="I66" s="22">
        <v>7650</v>
      </c>
      <c r="J66" s="23">
        <f>G66-D66</f>
        <v>58.900000000000091</v>
      </c>
      <c r="K66" s="167">
        <f t="shared" si="2"/>
        <v>450580</v>
      </c>
      <c r="L66" s="25" t="str">
        <f t="shared" si="7"/>
        <v/>
      </c>
      <c r="M66" s="245"/>
      <c r="N66" s="154" t="s">
        <v>6</v>
      </c>
      <c r="O66" s="26" t="s">
        <v>32</v>
      </c>
      <c r="P66" s="27"/>
      <c r="Q66" s="27"/>
      <c r="R66" s="27"/>
      <c r="T66" s="69" t="s">
        <v>424</v>
      </c>
      <c r="V66" t="str">
        <f t="shared" si="1"/>
        <v>39027102060000</v>
      </c>
    </row>
    <row r="67" spans="1:22" ht="24" customHeight="1">
      <c r="A67" s="16">
        <v>57</v>
      </c>
      <c r="B67" s="228">
        <v>209</v>
      </c>
      <c r="C67" s="18" t="s">
        <v>7</v>
      </c>
      <c r="D67" s="37">
        <v>1392</v>
      </c>
      <c r="E67" s="36">
        <f>B67</f>
        <v>209</v>
      </c>
      <c r="F67" s="18" t="str">
        <f>C67</f>
        <v>답</v>
      </c>
      <c r="G67" s="30">
        <v>1353.4</v>
      </c>
      <c r="H67" s="38"/>
      <c r="I67" s="22">
        <v>7650</v>
      </c>
      <c r="J67" s="23"/>
      <c r="K67" s="167"/>
      <c r="L67" s="25">
        <f t="shared" si="7"/>
        <v>-38.599999999999909</v>
      </c>
      <c r="M67" s="245">
        <f>IF(L67&gt;0,"",I67*L67)</f>
        <v>-295289.9999999993</v>
      </c>
      <c r="N67" s="154"/>
      <c r="O67" s="39" t="s">
        <v>16</v>
      </c>
      <c r="P67" s="27"/>
      <c r="Q67" s="27"/>
      <c r="R67" s="27"/>
      <c r="T67" s="58" t="s">
        <v>425</v>
      </c>
      <c r="V67" t="str">
        <f t="shared" si="1"/>
        <v>39027102090000</v>
      </c>
    </row>
    <row r="68" spans="1:22" ht="24" customHeight="1">
      <c r="A68" s="16">
        <v>58</v>
      </c>
      <c r="B68" s="229">
        <v>210</v>
      </c>
      <c r="C68" s="18" t="s">
        <v>3</v>
      </c>
      <c r="D68" s="45">
        <v>641</v>
      </c>
      <c r="E68" s="36">
        <f>B68</f>
        <v>210</v>
      </c>
      <c r="F68" s="18" t="str">
        <f>C68</f>
        <v>전</v>
      </c>
      <c r="G68" s="16">
        <v>698</v>
      </c>
      <c r="H68" s="38"/>
      <c r="I68" s="22">
        <v>7650</v>
      </c>
      <c r="J68" s="23">
        <f>G68-D68</f>
        <v>57</v>
      </c>
      <c r="K68" s="167">
        <f t="shared" si="2"/>
        <v>436050</v>
      </c>
      <c r="L68" s="25" t="str">
        <f t="shared" si="7"/>
        <v/>
      </c>
      <c r="M68" s="245"/>
      <c r="N68" s="154" t="s">
        <v>6</v>
      </c>
      <c r="O68" s="46" t="s">
        <v>98</v>
      </c>
      <c r="P68" s="27"/>
      <c r="Q68" s="27"/>
      <c r="R68" s="27"/>
      <c r="T68" s="262" t="s">
        <v>426</v>
      </c>
      <c r="V68" t="str">
        <f t="shared" si="1"/>
        <v>39027102100000</v>
      </c>
    </row>
    <row r="69" spans="1:22" ht="24" customHeight="1">
      <c r="A69" s="16">
        <v>59</v>
      </c>
      <c r="B69" s="228">
        <v>211</v>
      </c>
      <c r="C69" s="18" t="s">
        <v>3</v>
      </c>
      <c r="D69" s="37">
        <v>635</v>
      </c>
      <c r="E69" s="36">
        <v>211</v>
      </c>
      <c r="F69" s="18" t="s">
        <v>3</v>
      </c>
      <c r="G69" s="30">
        <v>540.5</v>
      </c>
      <c r="H69" s="38"/>
      <c r="I69" s="22">
        <v>7800</v>
      </c>
      <c r="J69" s="23"/>
      <c r="K69" s="167"/>
      <c r="L69" s="25">
        <f t="shared" si="7"/>
        <v>-94.5</v>
      </c>
      <c r="M69" s="245">
        <f>IF(L69&gt;0,"",I69*L69)</f>
        <v>-737100</v>
      </c>
      <c r="N69" s="154"/>
      <c r="O69" s="39" t="s">
        <v>17</v>
      </c>
      <c r="P69" s="27"/>
      <c r="Q69" s="27"/>
      <c r="R69" s="27"/>
      <c r="T69" s="58" t="s">
        <v>427</v>
      </c>
      <c r="V69" t="str">
        <f t="shared" si="1"/>
        <v>39027102110000</v>
      </c>
    </row>
    <row r="70" spans="1:22" ht="24" customHeight="1">
      <c r="A70" s="16">
        <v>60</v>
      </c>
      <c r="B70" s="229" t="s">
        <v>37</v>
      </c>
      <c r="C70" s="18" t="s">
        <v>3</v>
      </c>
      <c r="D70" s="59">
        <v>1107</v>
      </c>
      <c r="E70" s="44" t="str">
        <f>B70</f>
        <v>211-1</v>
      </c>
      <c r="F70" s="18" t="str">
        <f>C70</f>
        <v>전</v>
      </c>
      <c r="G70" s="60">
        <v>1211.9000000000001</v>
      </c>
      <c r="H70" s="38"/>
      <c r="I70" s="22">
        <v>7650</v>
      </c>
      <c r="J70" s="23">
        <f>G70-D70</f>
        <v>104.90000000000009</v>
      </c>
      <c r="K70" s="167">
        <f t="shared" si="2"/>
        <v>802480</v>
      </c>
      <c r="L70" s="25" t="str">
        <f t="shared" si="7"/>
        <v/>
      </c>
      <c r="M70" s="245"/>
      <c r="N70" s="154"/>
      <c r="O70" s="46" t="s">
        <v>38</v>
      </c>
      <c r="P70" s="27"/>
      <c r="Q70" s="27"/>
      <c r="R70" s="43"/>
      <c r="T70" s="262" t="s">
        <v>427</v>
      </c>
      <c r="U70">
        <v>1</v>
      </c>
      <c r="V70" t="str">
        <f t="shared" si="1"/>
        <v>39027102110001</v>
      </c>
    </row>
    <row r="71" spans="1:22" ht="24" customHeight="1">
      <c r="A71" s="16">
        <v>61</v>
      </c>
      <c r="B71" s="228">
        <v>212</v>
      </c>
      <c r="C71" s="18" t="s">
        <v>3</v>
      </c>
      <c r="D71" s="37">
        <v>426</v>
      </c>
      <c r="E71" s="36">
        <v>212</v>
      </c>
      <c r="F71" s="18" t="s">
        <v>3</v>
      </c>
      <c r="G71" s="30">
        <v>451.3</v>
      </c>
      <c r="H71" s="38"/>
      <c r="I71" s="22">
        <v>4350</v>
      </c>
      <c r="J71" s="23">
        <f>G71-D71</f>
        <v>25.300000000000011</v>
      </c>
      <c r="K71" s="167">
        <f t="shared" si="2"/>
        <v>110050</v>
      </c>
      <c r="L71" s="25" t="str">
        <f t="shared" si="7"/>
        <v/>
      </c>
      <c r="M71" s="245"/>
      <c r="N71" s="154"/>
      <c r="O71" s="39" t="s">
        <v>17</v>
      </c>
      <c r="P71" s="27"/>
      <c r="Q71" s="27"/>
      <c r="R71" s="27"/>
      <c r="T71" s="58" t="s">
        <v>428</v>
      </c>
      <c r="V71" t="str">
        <f t="shared" si="1"/>
        <v>39027102120000</v>
      </c>
    </row>
    <row r="72" spans="1:22" ht="24" customHeight="1">
      <c r="A72" s="16">
        <v>62</v>
      </c>
      <c r="B72" s="235" t="s">
        <v>108</v>
      </c>
      <c r="C72" s="82" t="s">
        <v>3</v>
      </c>
      <c r="D72" s="203">
        <v>631</v>
      </c>
      <c r="E72" s="36" t="str">
        <f t="shared" ref="E72:F75" si="11">B72</f>
        <v>215-1</v>
      </c>
      <c r="F72" s="18" t="str">
        <f t="shared" si="11"/>
        <v>전</v>
      </c>
      <c r="G72" s="214">
        <v>696.6</v>
      </c>
      <c r="H72" s="217"/>
      <c r="I72" s="15">
        <v>4480</v>
      </c>
      <c r="J72" s="23">
        <f>G72-D72</f>
        <v>65.600000000000023</v>
      </c>
      <c r="K72" s="167">
        <f t="shared" si="2"/>
        <v>293880</v>
      </c>
      <c r="L72" s="25" t="str">
        <f t="shared" si="7"/>
        <v/>
      </c>
      <c r="M72" s="245"/>
      <c r="N72" s="154" t="s">
        <v>6</v>
      </c>
      <c r="O72" s="221" t="s">
        <v>109</v>
      </c>
      <c r="P72" s="87"/>
      <c r="Q72" s="87"/>
      <c r="R72" s="87"/>
      <c r="T72" s="271" t="s">
        <v>429</v>
      </c>
      <c r="U72">
        <v>1</v>
      </c>
      <c r="V72" t="str">
        <f t="shared" si="1"/>
        <v>39027102150001</v>
      </c>
    </row>
    <row r="73" spans="1:22" ht="24" customHeight="1">
      <c r="A73" s="16">
        <v>63</v>
      </c>
      <c r="B73" s="231">
        <v>216</v>
      </c>
      <c r="C73" s="18" t="s">
        <v>3</v>
      </c>
      <c r="D73" s="19">
        <v>3722</v>
      </c>
      <c r="E73" s="36">
        <f t="shared" si="11"/>
        <v>216</v>
      </c>
      <c r="F73" s="18" t="str">
        <f t="shared" si="11"/>
        <v>전</v>
      </c>
      <c r="G73" s="20">
        <v>3324.4</v>
      </c>
      <c r="H73" s="21"/>
      <c r="I73" s="22">
        <v>7650</v>
      </c>
      <c r="J73" s="23"/>
      <c r="K73" s="167"/>
      <c r="L73" s="25">
        <f t="shared" si="7"/>
        <v>-397.59999999999991</v>
      </c>
      <c r="M73" s="245">
        <f>IF(L73&gt;0,"",I73*L73)</f>
        <v>-3041639.9999999995</v>
      </c>
      <c r="N73" s="154"/>
      <c r="O73" s="26" t="s">
        <v>79</v>
      </c>
      <c r="P73" s="27"/>
      <c r="Q73" s="27"/>
      <c r="R73" s="43"/>
      <c r="T73" s="69" t="s">
        <v>430</v>
      </c>
      <c r="V73" t="str">
        <f t="shared" si="1"/>
        <v>39027102160000</v>
      </c>
    </row>
    <row r="74" spans="1:22" ht="24" customHeight="1">
      <c r="A74" s="16">
        <v>64</v>
      </c>
      <c r="B74" s="232">
        <v>217</v>
      </c>
      <c r="C74" s="18" t="s">
        <v>7</v>
      </c>
      <c r="D74" s="54">
        <v>536</v>
      </c>
      <c r="E74" s="53">
        <f t="shared" si="11"/>
        <v>217</v>
      </c>
      <c r="F74" s="18" t="str">
        <f t="shared" si="11"/>
        <v>답</v>
      </c>
      <c r="G74" s="51">
        <v>511.4</v>
      </c>
      <c r="H74" s="38"/>
      <c r="I74" s="22">
        <v>7650</v>
      </c>
      <c r="J74" s="23"/>
      <c r="K74" s="167"/>
      <c r="L74" s="25">
        <f t="shared" si="7"/>
        <v>-24.600000000000023</v>
      </c>
      <c r="M74" s="245">
        <f>IF(L74&gt;0,"",I74*L74)</f>
        <v>-188190.00000000017</v>
      </c>
      <c r="N74" s="154" t="s">
        <v>6</v>
      </c>
      <c r="O74" s="52" t="s">
        <v>26</v>
      </c>
      <c r="P74" s="27"/>
      <c r="Q74" s="27"/>
      <c r="R74" s="43"/>
      <c r="T74" s="269" t="s">
        <v>431</v>
      </c>
      <c r="V74" t="str">
        <f t="shared" si="1"/>
        <v>39027102170000</v>
      </c>
    </row>
    <row r="75" spans="1:22" ht="24" customHeight="1">
      <c r="A75" s="16">
        <v>65</v>
      </c>
      <c r="B75" s="236" t="s">
        <v>112</v>
      </c>
      <c r="C75" s="89" t="s">
        <v>7</v>
      </c>
      <c r="D75" s="111">
        <v>2261</v>
      </c>
      <c r="E75" s="36" t="str">
        <f t="shared" si="11"/>
        <v>218-1</v>
      </c>
      <c r="F75" s="18" t="str">
        <f t="shared" si="11"/>
        <v>답</v>
      </c>
      <c r="G75" s="111">
        <v>2085.5</v>
      </c>
      <c r="H75" s="218"/>
      <c r="I75" s="22">
        <v>7890</v>
      </c>
      <c r="J75" s="23"/>
      <c r="K75" s="167"/>
      <c r="L75" s="25">
        <f t="shared" ref="L75:L106" si="12">IF(G75-D75&gt;0,"",G75-D75)</f>
        <v>-175.5</v>
      </c>
      <c r="M75" s="245">
        <f>ROUNDDOWN(IF(L75&gt;0,"",I75*L75),-1)</f>
        <v>-1384690</v>
      </c>
      <c r="N75" s="154" t="s">
        <v>6</v>
      </c>
      <c r="O75" s="113" t="s">
        <v>113</v>
      </c>
      <c r="P75" s="94"/>
      <c r="Q75" s="94"/>
      <c r="R75" s="94"/>
      <c r="T75" s="114" t="s">
        <v>432</v>
      </c>
      <c r="U75">
        <v>1</v>
      </c>
      <c r="V75" t="str">
        <f t="shared" si="1"/>
        <v>39027102180001</v>
      </c>
    </row>
    <row r="76" spans="1:22" ht="24" customHeight="1">
      <c r="A76" s="16">
        <v>66</v>
      </c>
      <c r="B76" s="232">
        <v>220</v>
      </c>
      <c r="C76" s="18" t="s">
        <v>3</v>
      </c>
      <c r="D76" s="41">
        <v>1124</v>
      </c>
      <c r="E76" s="40">
        <v>220</v>
      </c>
      <c r="F76" s="18" t="s">
        <v>3</v>
      </c>
      <c r="G76" s="30">
        <v>1255.0999999999999</v>
      </c>
      <c r="H76" s="38"/>
      <c r="I76" s="22">
        <v>7890</v>
      </c>
      <c r="J76" s="23">
        <f>G76-D76</f>
        <v>131.09999999999991</v>
      </c>
      <c r="K76" s="167">
        <f t="shared" ref="K76:K138" si="13">ROUNDDOWN(I76*J76,-1)</f>
        <v>1034370</v>
      </c>
      <c r="L76" s="25" t="str">
        <f t="shared" si="12"/>
        <v/>
      </c>
      <c r="M76" s="245"/>
      <c r="N76" s="154"/>
      <c r="O76" s="42" t="s">
        <v>51</v>
      </c>
      <c r="P76" s="27"/>
      <c r="Q76" s="27"/>
      <c r="R76" s="27"/>
      <c r="T76" s="269" t="s">
        <v>433</v>
      </c>
      <c r="V76" t="str">
        <f t="shared" ref="V76:V139" si="14">39027&amp;1&amp;TEXT(T76,"0000")&amp;TEXT(U76,"0000")</f>
        <v>39027102200000</v>
      </c>
    </row>
    <row r="77" spans="1:22" ht="24" customHeight="1">
      <c r="A77" s="16">
        <v>67</v>
      </c>
      <c r="B77" s="231">
        <v>221</v>
      </c>
      <c r="C77" s="18" t="s">
        <v>7</v>
      </c>
      <c r="D77" s="19">
        <v>2026</v>
      </c>
      <c r="E77" s="36">
        <f t="shared" ref="E77:E91" si="15">B77</f>
        <v>221</v>
      </c>
      <c r="F77" s="18" t="str">
        <f t="shared" ref="F77:F91" si="16">C77</f>
        <v>답</v>
      </c>
      <c r="G77" s="20">
        <v>1822</v>
      </c>
      <c r="H77" s="21"/>
      <c r="I77" s="22">
        <v>7650</v>
      </c>
      <c r="J77" s="23"/>
      <c r="K77" s="167"/>
      <c r="L77" s="25">
        <f t="shared" si="12"/>
        <v>-204</v>
      </c>
      <c r="M77" s="245">
        <f>IF(L77&gt;0,"",I77*L77)</f>
        <v>-1560600</v>
      </c>
      <c r="N77" s="154"/>
      <c r="O77" s="26" t="s">
        <v>79</v>
      </c>
      <c r="P77" s="27"/>
      <c r="Q77" s="27"/>
      <c r="R77" s="77"/>
      <c r="T77" s="69" t="s">
        <v>434</v>
      </c>
      <c r="V77" t="str">
        <f t="shared" si="14"/>
        <v>39027102210000</v>
      </c>
    </row>
    <row r="78" spans="1:22" ht="24" customHeight="1">
      <c r="A78" s="16">
        <v>68</v>
      </c>
      <c r="B78" s="230">
        <v>223</v>
      </c>
      <c r="C78" s="18" t="s">
        <v>7</v>
      </c>
      <c r="D78" s="200">
        <v>1660</v>
      </c>
      <c r="E78" s="36">
        <f t="shared" si="15"/>
        <v>223</v>
      </c>
      <c r="F78" s="18" t="str">
        <f t="shared" si="16"/>
        <v>답</v>
      </c>
      <c r="G78" s="200">
        <v>1717.8</v>
      </c>
      <c r="H78" s="112"/>
      <c r="I78" s="22">
        <v>8490</v>
      </c>
      <c r="J78" s="23">
        <f>G78-D78</f>
        <v>57.799999999999955</v>
      </c>
      <c r="K78" s="167">
        <f t="shared" si="13"/>
        <v>490720</v>
      </c>
      <c r="L78" s="25" t="str">
        <f t="shared" si="12"/>
        <v/>
      </c>
      <c r="M78" s="245"/>
      <c r="N78" s="154"/>
      <c r="O78" s="219" t="s">
        <v>152</v>
      </c>
      <c r="P78" s="27"/>
      <c r="Q78" s="27"/>
      <c r="R78" s="27"/>
      <c r="T78" s="263" t="s">
        <v>435</v>
      </c>
      <c r="V78" t="str">
        <f t="shared" si="14"/>
        <v>39027102230000</v>
      </c>
    </row>
    <row r="79" spans="1:22" ht="24" customHeight="1">
      <c r="A79" s="16">
        <v>69</v>
      </c>
      <c r="B79" s="228">
        <v>225</v>
      </c>
      <c r="C79" s="18" t="s">
        <v>3</v>
      </c>
      <c r="D79" s="37">
        <v>1405</v>
      </c>
      <c r="E79" s="36">
        <f t="shared" si="15"/>
        <v>225</v>
      </c>
      <c r="F79" s="18" t="str">
        <f t="shared" si="16"/>
        <v>전</v>
      </c>
      <c r="G79" s="30">
        <v>1575.2</v>
      </c>
      <c r="H79" s="38"/>
      <c r="I79" s="22">
        <v>8400</v>
      </c>
      <c r="J79" s="23">
        <f>G79-D79</f>
        <v>170.20000000000005</v>
      </c>
      <c r="K79" s="167">
        <f t="shared" si="13"/>
        <v>1429680</v>
      </c>
      <c r="L79" s="25" t="str">
        <f t="shared" si="12"/>
        <v/>
      </c>
      <c r="M79" s="245"/>
      <c r="N79" s="154"/>
      <c r="O79" s="39" t="s">
        <v>16</v>
      </c>
      <c r="P79" s="27"/>
      <c r="Q79" s="27"/>
      <c r="R79" s="27"/>
      <c r="T79" s="58" t="s">
        <v>436</v>
      </c>
      <c r="V79" t="str">
        <f t="shared" si="14"/>
        <v>39027102250000</v>
      </c>
    </row>
    <row r="80" spans="1:22" ht="24" customHeight="1">
      <c r="A80" s="16">
        <v>70</v>
      </c>
      <c r="B80" s="231">
        <v>226</v>
      </c>
      <c r="C80" s="18" t="s">
        <v>3</v>
      </c>
      <c r="D80" s="19">
        <v>1081</v>
      </c>
      <c r="E80" s="44">
        <f t="shared" si="15"/>
        <v>226</v>
      </c>
      <c r="F80" s="18" t="str">
        <f t="shared" si="16"/>
        <v>전</v>
      </c>
      <c r="G80" s="60">
        <v>1237.4000000000001</v>
      </c>
      <c r="H80" s="21"/>
      <c r="I80" s="22">
        <v>8400</v>
      </c>
      <c r="J80" s="23">
        <f>G80-D80</f>
        <v>156.40000000000009</v>
      </c>
      <c r="K80" s="167">
        <f t="shared" si="13"/>
        <v>1313760</v>
      </c>
      <c r="L80" s="25" t="str">
        <f t="shared" si="12"/>
        <v/>
      </c>
      <c r="M80" s="245"/>
      <c r="N80" s="154"/>
      <c r="O80" s="46" t="s">
        <v>38</v>
      </c>
      <c r="P80" s="27"/>
      <c r="Q80" s="27"/>
      <c r="R80" s="43"/>
      <c r="T80" s="69" t="s">
        <v>437</v>
      </c>
      <c r="V80" t="str">
        <f t="shared" si="14"/>
        <v>39027102260000</v>
      </c>
    </row>
    <row r="81" spans="1:22" ht="24" customHeight="1">
      <c r="A81" s="16">
        <v>71</v>
      </c>
      <c r="B81" s="233">
        <v>227</v>
      </c>
      <c r="C81" s="18" t="s">
        <v>3</v>
      </c>
      <c r="D81" s="209">
        <v>1001</v>
      </c>
      <c r="E81" s="36">
        <f t="shared" si="15"/>
        <v>227</v>
      </c>
      <c r="F81" s="18" t="str">
        <f t="shared" si="16"/>
        <v>전</v>
      </c>
      <c r="G81" s="51">
        <v>1080.5</v>
      </c>
      <c r="H81" s="21"/>
      <c r="I81" s="105">
        <v>9320</v>
      </c>
      <c r="J81" s="23">
        <f>G81-D81</f>
        <v>79.5</v>
      </c>
      <c r="K81" s="167">
        <f t="shared" si="13"/>
        <v>740940</v>
      </c>
      <c r="L81" s="25" t="str">
        <f t="shared" si="12"/>
        <v/>
      </c>
      <c r="M81" s="245"/>
      <c r="N81" s="154" t="s">
        <v>6</v>
      </c>
      <c r="O81" s="33" t="s">
        <v>107</v>
      </c>
      <c r="P81" s="27"/>
      <c r="Q81" s="27"/>
      <c r="R81" s="27"/>
      <c r="T81" s="270" t="s">
        <v>438</v>
      </c>
      <c r="V81" t="str">
        <f t="shared" si="14"/>
        <v>39027102270000</v>
      </c>
    </row>
    <row r="82" spans="1:22" ht="24" customHeight="1">
      <c r="A82" s="16">
        <v>72</v>
      </c>
      <c r="B82" s="236" t="s">
        <v>115</v>
      </c>
      <c r="C82" s="89" t="s">
        <v>3</v>
      </c>
      <c r="D82" s="111">
        <v>1629</v>
      </c>
      <c r="E82" s="36" t="str">
        <f t="shared" si="15"/>
        <v>227-5</v>
      </c>
      <c r="F82" s="18" t="str">
        <f t="shared" si="16"/>
        <v>전</v>
      </c>
      <c r="G82" s="111">
        <v>1712.5</v>
      </c>
      <c r="H82" s="218"/>
      <c r="I82" s="22">
        <v>9320</v>
      </c>
      <c r="J82" s="23">
        <f>G82-D82</f>
        <v>83.5</v>
      </c>
      <c r="K82" s="167">
        <f t="shared" si="13"/>
        <v>778220</v>
      </c>
      <c r="L82" s="25" t="str">
        <f t="shared" si="12"/>
        <v/>
      </c>
      <c r="M82" s="245"/>
      <c r="N82" s="154"/>
      <c r="O82" s="113" t="s">
        <v>116</v>
      </c>
      <c r="P82" s="94"/>
      <c r="Q82" s="94"/>
      <c r="R82" s="94"/>
      <c r="T82" s="114" t="s">
        <v>438</v>
      </c>
      <c r="U82">
        <v>5</v>
      </c>
      <c r="V82" t="str">
        <f t="shared" si="14"/>
        <v>39027102270005</v>
      </c>
    </row>
    <row r="83" spans="1:22" ht="24" customHeight="1">
      <c r="A83" s="16">
        <v>73</v>
      </c>
      <c r="B83" s="236" t="s">
        <v>117</v>
      </c>
      <c r="C83" s="89" t="s">
        <v>3</v>
      </c>
      <c r="D83" s="111">
        <v>1815</v>
      </c>
      <c r="E83" s="36" t="str">
        <f t="shared" si="15"/>
        <v>227-6</v>
      </c>
      <c r="F83" s="18" t="str">
        <f t="shared" si="16"/>
        <v>전</v>
      </c>
      <c r="G83" s="111">
        <v>1731.5</v>
      </c>
      <c r="H83" s="218"/>
      <c r="I83" s="22">
        <v>9320</v>
      </c>
      <c r="J83" s="23"/>
      <c r="K83" s="167"/>
      <c r="L83" s="25">
        <f t="shared" si="12"/>
        <v>-83.5</v>
      </c>
      <c r="M83" s="245">
        <f>IF(L83&gt;0,"",I83*L83)</f>
        <v>-778220</v>
      </c>
      <c r="N83" s="154"/>
      <c r="O83" s="113" t="s">
        <v>47</v>
      </c>
      <c r="P83" s="94"/>
      <c r="Q83" s="94"/>
      <c r="R83" s="94"/>
      <c r="T83" s="114" t="s">
        <v>438</v>
      </c>
      <c r="U83">
        <v>6</v>
      </c>
      <c r="V83" t="str">
        <f t="shared" si="14"/>
        <v>39027102270006</v>
      </c>
    </row>
    <row r="84" spans="1:22" ht="24" customHeight="1">
      <c r="A84" s="16">
        <v>74</v>
      </c>
      <c r="B84" s="228">
        <v>228</v>
      </c>
      <c r="C84" s="18" t="s">
        <v>3</v>
      </c>
      <c r="D84" s="37">
        <v>899</v>
      </c>
      <c r="E84" s="36">
        <f t="shared" si="15"/>
        <v>228</v>
      </c>
      <c r="F84" s="18" t="str">
        <f t="shared" si="16"/>
        <v>전</v>
      </c>
      <c r="G84" s="30">
        <v>1059.3</v>
      </c>
      <c r="H84" s="38"/>
      <c r="I84" s="22">
        <v>8400</v>
      </c>
      <c r="J84" s="23">
        <f>G84-D84</f>
        <v>160.29999999999995</v>
      </c>
      <c r="K84" s="167">
        <f t="shared" si="13"/>
        <v>1346520</v>
      </c>
      <c r="L84" s="25" t="str">
        <f t="shared" si="12"/>
        <v/>
      </c>
      <c r="M84" s="245"/>
      <c r="N84" s="154"/>
      <c r="O84" s="39" t="s">
        <v>16</v>
      </c>
      <c r="P84" s="27"/>
      <c r="Q84" s="27"/>
      <c r="R84" s="27"/>
      <c r="T84" s="58" t="s">
        <v>439</v>
      </c>
      <c r="V84" t="str">
        <f t="shared" si="14"/>
        <v>39027102280000</v>
      </c>
    </row>
    <row r="85" spans="1:22" ht="24" customHeight="1">
      <c r="A85" s="16">
        <v>75</v>
      </c>
      <c r="B85" s="230">
        <v>229</v>
      </c>
      <c r="C85" s="18" t="s">
        <v>7</v>
      </c>
      <c r="D85" s="200">
        <v>1494</v>
      </c>
      <c r="E85" s="36">
        <f t="shared" si="15"/>
        <v>229</v>
      </c>
      <c r="F85" s="18" t="str">
        <f t="shared" si="16"/>
        <v>답</v>
      </c>
      <c r="G85" s="200">
        <v>1468.7</v>
      </c>
      <c r="H85" s="112"/>
      <c r="I85" s="22">
        <v>7890</v>
      </c>
      <c r="J85" s="23"/>
      <c r="K85" s="167"/>
      <c r="L85" s="25">
        <f t="shared" si="12"/>
        <v>-25.299999999999955</v>
      </c>
      <c r="M85" s="245">
        <f>ROUNDDOWN(IF(L85&gt;0,"",I85*L85),-1)</f>
        <v>-199610</v>
      </c>
      <c r="N85" s="154"/>
      <c r="O85" s="219" t="s">
        <v>139</v>
      </c>
      <c r="P85" s="27"/>
      <c r="Q85" s="27"/>
      <c r="R85" s="27"/>
      <c r="T85" s="263" t="s">
        <v>440</v>
      </c>
      <c r="V85" t="str">
        <f t="shared" si="14"/>
        <v>39027102290000</v>
      </c>
    </row>
    <row r="86" spans="1:22" ht="24" customHeight="1">
      <c r="A86" s="16">
        <v>76</v>
      </c>
      <c r="B86" s="229">
        <v>232</v>
      </c>
      <c r="C86" s="18" t="s">
        <v>3</v>
      </c>
      <c r="D86" s="45">
        <v>1078</v>
      </c>
      <c r="E86" s="36">
        <f t="shared" si="15"/>
        <v>232</v>
      </c>
      <c r="F86" s="18" t="str">
        <f t="shared" si="16"/>
        <v>전</v>
      </c>
      <c r="G86" s="16">
        <v>1142.4000000000001</v>
      </c>
      <c r="H86" s="38"/>
      <c r="I86" s="22">
        <v>7890</v>
      </c>
      <c r="J86" s="23">
        <f>G86-D86</f>
        <v>64.400000000000091</v>
      </c>
      <c r="K86" s="167">
        <f t="shared" si="13"/>
        <v>508110</v>
      </c>
      <c r="L86" s="25" t="str">
        <f t="shared" si="12"/>
        <v/>
      </c>
      <c r="M86" s="245"/>
      <c r="N86" s="154" t="s">
        <v>6</v>
      </c>
      <c r="O86" s="46" t="s">
        <v>95</v>
      </c>
      <c r="P86" s="27"/>
      <c r="Q86" s="27"/>
      <c r="R86" s="27"/>
      <c r="T86" s="262" t="s">
        <v>441</v>
      </c>
      <c r="V86" t="str">
        <f t="shared" si="14"/>
        <v>39027102320000</v>
      </c>
    </row>
    <row r="87" spans="1:22" ht="24" customHeight="1">
      <c r="A87" s="16">
        <v>77</v>
      </c>
      <c r="B87" s="237" t="s">
        <v>85</v>
      </c>
      <c r="C87" s="89" t="s">
        <v>3</v>
      </c>
      <c r="D87" s="202">
        <v>1157</v>
      </c>
      <c r="E87" s="36" t="str">
        <f t="shared" si="15"/>
        <v>235-2</v>
      </c>
      <c r="F87" s="18" t="str">
        <f t="shared" si="16"/>
        <v>전</v>
      </c>
      <c r="G87" s="212">
        <v>1126.3</v>
      </c>
      <c r="H87" s="92"/>
      <c r="I87" s="22">
        <v>7890</v>
      </c>
      <c r="J87" s="23"/>
      <c r="K87" s="167"/>
      <c r="L87" s="25">
        <f t="shared" si="12"/>
        <v>-30.700000000000045</v>
      </c>
      <c r="M87" s="245">
        <f>ROUNDDOWN(IF(L87&gt;0,"",I87*L87),-1)</f>
        <v>-242220</v>
      </c>
      <c r="N87" s="154"/>
      <c r="O87" s="220" t="s">
        <v>26</v>
      </c>
      <c r="P87" s="94"/>
      <c r="Q87" s="94"/>
      <c r="R87" s="224"/>
      <c r="T87" s="261" t="s">
        <v>442</v>
      </c>
      <c r="U87">
        <v>2</v>
      </c>
      <c r="V87" t="str">
        <f t="shared" si="14"/>
        <v>39027102350002</v>
      </c>
    </row>
    <row r="88" spans="1:22" ht="24" customHeight="1">
      <c r="A88" s="16">
        <v>78</v>
      </c>
      <c r="B88" s="237" t="s">
        <v>31</v>
      </c>
      <c r="C88" s="89" t="s">
        <v>7</v>
      </c>
      <c r="D88" s="207">
        <v>1388</v>
      </c>
      <c r="E88" s="36" t="str">
        <f t="shared" si="15"/>
        <v>235-3</v>
      </c>
      <c r="F88" s="18" t="str">
        <f t="shared" si="16"/>
        <v>답</v>
      </c>
      <c r="G88" s="104">
        <v>1455.7</v>
      </c>
      <c r="H88" s="92"/>
      <c r="I88" s="57">
        <v>7890</v>
      </c>
      <c r="J88" s="23">
        <f>G88-D88</f>
        <v>67.700000000000045</v>
      </c>
      <c r="K88" s="167">
        <f t="shared" si="13"/>
        <v>534150</v>
      </c>
      <c r="L88" s="25" t="str">
        <f t="shared" si="12"/>
        <v/>
      </c>
      <c r="M88" s="245"/>
      <c r="N88" s="154" t="s">
        <v>6</v>
      </c>
      <c r="O88" s="220" t="s">
        <v>32</v>
      </c>
      <c r="P88" s="94"/>
      <c r="Q88" s="94"/>
      <c r="R88" s="224"/>
      <c r="T88" s="261" t="s">
        <v>442</v>
      </c>
      <c r="U88">
        <v>3</v>
      </c>
      <c r="V88" t="str">
        <f t="shared" si="14"/>
        <v>39027102350003</v>
      </c>
    </row>
    <row r="89" spans="1:22" ht="24" customHeight="1">
      <c r="A89" s="16">
        <v>79</v>
      </c>
      <c r="B89" s="237" t="s">
        <v>15</v>
      </c>
      <c r="C89" s="89" t="s">
        <v>7</v>
      </c>
      <c r="D89" s="202">
        <v>1451</v>
      </c>
      <c r="E89" s="36" t="str">
        <f t="shared" si="15"/>
        <v>235-7</v>
      </c>
      <c r="F89" s="18" t="str">
        <f t="shared" si="16"/>
        <v>답</v>
      </c>
      <c r="G89" s="212">
        <v>1410.5</v>
      </c>
      <c r="H89" s="38"/>
      <c r="I89" s="22">
        <v>7890</v>
      </c>
      <c r="J89" s="23"/>
      <c r="K89" s="167"/>
      <c r="L89" s="25">
        <f t="shared" si="12"/>
        <v>-40.5</v>
      </c>
      <c r="M89" s="245">
        <f>ROUNDDOWN(IF(L89&gt;0,"",I89*L89),-1)</f>
        <v>-319540</v>
      </c>
      <c r="N89" s="154"/>
      <c r="O89" s="220" t="s">
        <v>16</v>
      </c>
      <c r="P89" s="94"/>
      <c r="Q89" s="94"/>
      <c r="R89" s="94"/>
      <c r="T89" s="261" t="s">
        <v>442</v>
      </c>
      <c r="U89">
        <v>7</v>
      </c>
      <c r="V89" t="str">
        <f t="shared" si="14"/>
        <v>39027102350007</v>
      </c>
    </row>
    <row r="90" spans="1:22" ht="24" customHeight="1">
      <c r="A90" s="16">
        <v>80</v>
      </c>
      <c r="B90" s="230">
        <v>236</v>
      </c>
      <c r="C90" s="18" t="s">
        <v>3</v>
      </c>
      <c r="D90" s="200">
        <v>1574</v>
      </c>
      <c r="E90" s="36">
        <f t="shared" si="15"/>
        <v>236</v>
      </c>
      <c r="F90" s="18" t="str">
        <f t="shared" si="16"/>
        <v>전</v>
      </c>
      <c r="G90" s="200">
        <v>1731.5</v>
      </c>
      <c r="H90" s="112"/>
      <c r="I90" s="22">
        <v>7890</v>
      </c>
      <c r="J90" s="23">
        <f>G90-D90</f>
        <v>157.5</v>
      </c>
      <c r="K90" s="167">
        <f t="shared" si="13"/>
        <v>1242670</v>
      </c>
      <c r="L90" s="25" t="str">
        <f t="shared" si="12"/>
        <v/>
      </c>
      <c r="M90" s="245"/>
      <c r="N90" s="154"/>
      <c r="O90" s="219" t="s">
        <v>136</v>
      </c>
      <c r="P90" s="27"/>
      <c r="Q90" s="27"/>
      <c r="R90" s="27"/>
      <c r="T90" s="263" t="s">
        <v>443</v>
      </c>
      <c r="V90" t="str">
        <f t="shared" si="14"/>
        <v>39027102360000</v>
      </c>
    </row>
    <row r="91" spans="1:22" ht="24" customHeight="1">
      <c r="A91" s="16">
        <v>81</v>
      </c>
      <c r="B91" s="228">
        <v>239</v>
      </c>
      <c r="C91" s="18" t="s">
        <v>3</v>
      </c>
      <c r="D91" s="55">
        <v>1964</v>
      </c>
      <c r="E91" s="36">
        <f t="shared" si="15"/>
        <v>239</v>
      </c>
      <c r="F91" s="18" t="str">
        <f t="shared" si="16"/>
        <v>전</v>
      </c>
      <c r="G91" s="51">
        <v>2087.4</v>
      </c>
      <c r="H91" s="56"/>
      <c r="I91" s="22">
        <v>8400</v>
      </c>
      <c r="J91" s="23">
        <f>G91-D91</f>
        <v>123.40000000000009</v>
      </c>
      <c r="K91" s="167">
        <f t="shared" si="13"/>
        <v>1036560</v>
      </c>
      <c r="L91" s="25" t="str">
        <f t="shared" si="12"/>
        <v/>
      </c>
      <c r="M91" s="245"/>
      <c r="N91" s="154" t="s">
        <v>6</v>
      </c>
      <c r="O91" s="39" t="s">
        <v>26</v>
      </c>
      <c r="P91" s="27"/>
      <c r="Q91" s="27"/>
      <c r="R91" s="43"/>
      <c r="T91" s="58" t="s">
        <v>444</v>
      </c>
      <c r="V91" t="str">
        <f t="shared" si="14"/>
        <v>39027102390000</v>
      </c>
    </row>
    <row r="92" spans="1:22" ht="24" customHeight="1">
      <c r="A92" s="16">
        <v>82</v>
      </c>
      <c r="B92" s="68">
        <v>240</v>
      </c>
      <c r="C92" s="18" t="s">
        <v>3</v>
      </c>
      <c r="D92" s="41">
        <v>1772</v>
      </c>
      <c r="E92" s="68">
        <v>240</v>
      </c>
      <c r="F92" s="18" t="s">
        <v>3</v>
      </c>
      <c r="G92" s="30">
        <v>1749.2</v>
      </c>
      <c r="H92" s="38"/>
      <c r="I92" s="22">
        <v>7890</v>
      </c>
      <c r="J92" s="23"/>
      <c r="K92" s="167"/>
      <c r="L92" s="25">
        <f t="shared" si="12"/>
        <v>-22.799999999999955</v>
      </c>
      <c r="M92" s="245">
        <f>ROUNDDOWN(IF(L92&gt;0,"",I92*L92),-1)</f>
        <v>-179890</v>
      </c>
      <c r="N92" s="154"/>
      <c r="O92" s="42" t="s">
        <v>43</v>
      </c>
      <c r="P92" s="27"/>
      <c r="Q92" s="27"/>
      <c r="R92" s="43"/>
      <c r="T92" s="266" t="s">
        <v>445</v>
      </c>
      <c r="V92" t="str">
        <f t="shared" si="14"/>
        <v>39027102400000</v>
      </c>
    </row>
    <row r="93" spans="1:22" ht="24" customHeight="1">
      <c r="A93" s="16">
        <v>83</v>
      </c>
      <c r="B93" s="230">
        <v>245</v>
      </c>
      <c r="C93" s="18" t="s">
        <v>7</v>
      </c>
      <c r="D93" s="200">
        <v>1709</v>
      </c>
      <c r="E93" s="36">
        <f t="shared" ref="E93:F99" si="17">B93</f>
        <v>245</v>
      </c>
      <c r="F93" s="18" t="str">
        <f t="shared" si="17"/>
        <v>답</v>
      </c>
      <c r="G93" s="51">
        <v>1763.8</v>
      </c>
      <c r="H93" s="112"/>
      <c r="I93" s="22">
        <v>7890</v>
      </c>
      <c r="J93" s="23">
        <f>G93-D93</f>
        <v>54.799999999999955</v>
      </c>
      <c r="K93" s="167">
        <f t="shared" si="13"/>
        <v>432370</v>
      </c>
      <c r="L93" s="25" t="str">
        <f t="shared" si="12"/>
        <v/>
      </c>
      <c r="M93" s="245"/>
      <c r="N93" s="154" t="s">
        <v>6</v>
      </c>
      <c r="O93" s="219" t="s">
        <v>23</v>
      </c>
      <c r="P93" s="27"/>
      <c r="Q93" s="27"/>
      <c r="R93" s="27"/>
      <c r="T93" s="263" t="s">
        <v>446</v>
      </c>
      <c r="V93" t="str">
        <f t="shared" si="14"/>
        <v>39027102450000</v>
      </c>
    </row>
    <row r="94" spans="1:22" ht="24" customHeight="1">
      <c r="A94" s="16">
        <v>84</v>
      </c>
      <c r="B94" s="237" t="s">
        <v>86</v>
      </c>
      <c r="C94" s="89" t="s">
        <v>7</v>
      </c>
      <c r="D94" s="202">
        <v>1597</v>
      </c>
      <c r="E94" s="36" t="str">
        <f t="shared" si="17"/>
        <v>247-2</v>
      </c>
      <c r="F94" s="18" t="str">
        <f t="shared" si="17"/>
        <v>답</v>
      </c>
      <c r="G94" s="212">
        <v>1508.4</v>
      </c>
      <c r="H94" s="38"/>
      <c r="I94" s="22">
        <v>7890</v>
      </c>
      <c r="J94" s="23"/>
      <c r="K94" s="167"/>
      <c r="L94" s="25">
        <f t="shared" si="12"/>
        <v>-88.599999999999909</v>
      </c>
      <c r="M94" s="245">
        <f>ROUNDDOWN(IF(L94&gt;0,"",I94*L94),-1)</f>
        <v>-699050</v>
      </c>
      <c r="N94" s="154"/>
      <c r="O94" s="220" t="s">
        <v>87</v>
      </c>
      <c r="P94" s="94"/>
      <c r="Q94" s="94"/>
      <c r="R94" s="224"/>
      <c r="T94" s="261" t="s">
        <v>447</v>
      </c>
      <c r="U94">
        <v>2</v>
      </c>
      <c r="V94" t="str">
        <f t="shared" si="14"/>
        <v>39027102470002</v>
      </c>
    </row>
    <row r="95" spans="1:22" ht="24" customHeight="1">
      <c r="A95" s="16">
        <v>85</v>
      </c>
      <c r="B95" s="236" t="s">
        <v>137</v>
      </c>
      <c r="C95" s="89" t="s">
        <v>7</v>
      </c>
      <c r="D95" s="111">
        <v>1051</v>
      </c>
      <c r="E95" s="36" t="str">
        <f t="shared" si="17"/>
        <v>247-3</v>
      </c>
      <c r="F95" s="18" t="str">
        <f t="shared" si="17"/>
        <v>답</v>
      </c>
      <c r="G95" s="111">
        <v>1133.9000000000001</v>
      </c>
      <c r="H95" s="112"/>
      <c r="I95" s="22">
        <v>7890</v>
      </c>
      <c r="J95" s="23">
        <f>G95-D95</f>
        <v>82.900000000000091</v>
      </c>
      <c r="K95" s="167">
        <f t="shared" si="13"/>
        <v>654080</v>
      </c>
      <c r="L95" s="25" t="str">
        <f t="shared" si="12"/>
        <v/>
      </c>
      <c r="M95" s="245"/>
      <c r="N95" s="154"/>
      <c r="O95" s="113" t="s">
        <v>138</v>
      </c>
      <c r="P95" s="94"/>
      <c r="Q95" s="94"/>
      <c r="R95" s="94"/>
      <c r="T95" s="114" t="s">
        <v>447</v>
      </c>
      <c r="U95">
        <v>3</v>
      </c>
      <c r="V95" t="str">
        <f t="shared" si="14"/>
        <v>39027102470003</v>
      </c>
    </row>
    <row r="96" spans="1:22" ht="24" customHeight="1">
      <c r="A96" s="16">
        <v>86</v>
      </c>
      <c r="B96" s="228">
        <v>249</v>
      </c>
      <c r="C96" s="18" t="s">
        <v>7</v>
      </c>
      <c r="D96" s="55">
        <v>734</v>
      </c>
      <c r="E96" s="36">
        <f t="shared" si="17"/>
        <v>249</v>
      </c>
      <c r="F96" s="18" t="str">
        <f t="shared" si="17"/>
        <v>답</v>
      </c>
      <c r="G96" s="51">
        <v>759</v>
      </c>
      <c r="H96" s="38"/>
      <c r="I96" s="22">
        <v>7890</v>
      </c>
      <c r="J96" s="23">
        <f>G96-D96</f>
        <v>25</v>
      </c>
      <c r="K96" s="167">
        <f t="shared" si="13"/>
        <v>197250</v>
      </c>
      <c r="L96" s="25" t="str">
        <f t="shared" si="12"/>
        <v/>
      </c>
      <c r="M96" s="245"/>
      <c r="N96" s="154" t="s">
        <v>6</v>
      </c>
      <c r="O96" s="39" t="s">
        <v>26</v>
      </c>
      <c r="P96" s="27"/>
      <c r="Q96" s="27"/>
      <c r="R96" s="43"/>
      <c r="T96" s="58" t="s">
        <v>448</v>
      </c>
      <c r="V96" t="str">
        <f t="shared" si="14"/>
        <v>39027102490000</v>
      </c>
    </row>
    <row r="97" spans="1:22" ht="24" customHeight="1">
      <c r="A97" s="16">
        <v>87</v>
      </c>
      <c r="B97" s="228">
        <v>250</v>
      </c>
      <c r="C97" s="18" t="s">
        <v>7</v>
      </c>
      <c r="D97" s="55">
        <v>1025</v>
      </c>
      <c r="E97" s="36">
        <f t="shared" si="17"/>
        <v>250</v>
      </c>
      <c r="F97" s="18" t="str">
        <f t="shared" si="17"/>
        <v>답</v>
      </c>
      <c r="G97" s="51">
        <v>994.9</v>
      </c>
      <c r="H97" s="38"/>
      <c r="I97" s="22">
        <v>7890</v>
      </c>
      <c r="J97" s="23"/>
      <c r="K97" s="167"/>
      <c r="L97" s="25">
        <f t="shared" si="12"/>
        <v>-30.100000000000023</v>
      </c>
      <c r="M97" s="245">
        <f t="shared" ref="M97:M103" si="18">ROUNDDOWN(IF(L97&gt;0,"",I97*L97),-1)</f>
        <v>-237480</v>
      </c>
      <c r="N97" s="154" t="s">
        <v>6</v>
      </c>
      <c r="O97" s="39" t="s">
        <v>26</v>
      </c>
      <c r="P97" s="27"/>
      <c r="Q97" s="27"/>
      <c r="R97" s="43"/>
      <c r="T97" s="58" t="s">
        <v>449</v>
      </c>
      <c r="V97" t="str">
        <f t="shared" si="14"/>
        <v>39027102500000</v>
      </c>
    </row>
    <row r="98" spans="1:22" ht="24" customHeight="1">
      <c r="A98" s="16">
        <v>88</v>
      </c>
      <c r="B98" s="228">
        <v>251</v>
      </c>
      <c r="C98" s="18" t="s">
        <v>7</v>
      </c>
      <c r="D98" s="37">
        <v>1038</v>
      </c>
      <c r="E98" s="36">
        <f t="shared" si="17"/>
        <v>251</v>
      </c>
      <c r="F98" s="18" t="str">
        <f t="shared" si="17"/>
        <v>답</v>
      </c>
      <c r="G98" s="30">
        <v>968.7</v>
      </c>
      <c r="H98" s="38"/>
      <c r="I98" s="22">
        <v>7890</v>
      </c>
      <c r="J98" s="23"/>
      <c r="K98" s="167"/>
      <c r="L98" s="25">
        <f t="shared" si="12"/>
        <v>-69.299999999999955</v>
      </c>
      <c r="M98" s="245">
        <f t="shared" si="18"/>
        <v>-546770</v>
      </c>
      <c r="N98" s="154"/>
      <c r="O98" s="39" t="s">
        <v>59</v>
      </c>
      <c r="P98" s="27"/>
      <c r="Q98" s="27"/>
      <c r="R98" s="27"/>
      <c r="T98" s="58" t="s">
        <v>450</v>
      </c>
      <c r="V98" t="str">
        <f t="shared" si="14"/>
        <v>39027102510000</v>
      </c>
    </row>
    <row r="99" spans="1:22" ht="24" customHeight="1">
      <c r="A99" s="16">
        <v>89</v>
      </c>
      <c r="B99" s="228">
        <v>252</v>
      </c>
      <c r="C99" s="18" t="s">
        <v>7</v>
      </c>
      <c r="D99" s="37">
        <v>1557</v>
      </c>
      <c r="E99" s="36">
        <f t="shared" si="17"/>
        <v>252</v>
      </c>
      <c r="F99" s="18" t="str">
        <f t="shared" si="17"/>
        <v>답</v>
      </c>
      <c r="G99" s="30">
        <v>1533.2</v>
      </c>
      <c r="H99" s="38"/>
      <c r="I99" s="22">
        <v>7890</v>
      </c>
      <c r="J99" s="23"/>
      <c r="K99" s="167"/>
      <c r="L99" s="25">
        <f t="shared" si="12"/>
        <v>-23.799999999999955</v>
      </c>
      <c r="M99" s="245">
        <f t="shared" si="18"/>
        <v>-187780</v>
      </c>
      <c r="N99" s="154"/>
      <c r="O99" s="39" t="s">
        <v>90</v>
      </c>
      <c r="P99" s="27"/>
      <c r="Q99" s="27"/>
      <c r="R99" s="43"/>
      <c r="T99" s="58" t="s">
        <v>451</v>
      </c>
      <c r="V99" t="str">
        <f t="shared" si="14"/>
        <v>39027102520000</v>
      </c>
    </row>
    <row r="100" spans="1:22" ht="24" customHeight="1">
      <c r="A100" s="16">
        <v>90</v>
      </c>
      <c r="B100" s="237" t="s">
        <v>55</v>
      </c>
      <c r="C100" s="89" t="s">
        <v>7</v>
      </c>
      <c r="D100" s="202">
        <v>1745</v>
      </c>
      <c r="E100" s="36" t="s">
        <v>55</v>
      </c>
      <c r="F100" s="18" t="s">
        <v>7</v>
      </c>
      <c r="G100" s="212">
        <v>1725</v>
      </c>
      <c r="H100" s="38"/>
      <c r="I100" s="22">
        <v>7890</v>
      </c>
      <c r="J100" s="23"/>
      <c r="K100" s="167"/>
      <c r="L100" s="25">
        <f t="shared" si="12"/>
        <v>-20</v>
      </c>
      <c r="M100" s="245">
        <f>IF(L100&gt;0,"",I100*L100)</f>
        <v>-157800</v>
      </c>
      <c r="N100" s="154"/>
      <c r="O100" s="220" t="s">
        <v>56</v>
      </c>
      <c r="P100" s="94"/>
      <c r="Q100" s="94"/>
      <c r="R100" s="94"/>
      <c r="T100" s="261" t="s">
        <v>452</v>
      </c>
      <c r="U100">
        <v>1</v>
      </c>
      <c r="V100" t="str">
        <f t="shared" si="14"/>
        <v>39027102530001</v>
      </c>
    </row>
    <row r="101" spans="1:22" s="4" customFormat="1" ht="24" customHeight="1">
      <c r="A101" s="16">
        <v>91</v>
      </c>
      <c r="B101" s="237" t="s">
        <v>93</v>
      </c>
      <c r="C101" s="89" t="s">
        <v>7</v>
      </c>
      <c r="D101" s="202">
        <v>1977</v>
      </c>
      <c r="E101" s="36" t="str">
        <f t="shared" ref="E101:F103" si="19">B101</f>
        <v>253-2</v>
      </c>
      <c r="F101" s="18" t="str">
        <f t="shared" si="19"/>
        <v>답</v>
      </c>
      <c r="G101" s="212">
        <v>1896.7</v>
      </c>
      <c r="H101" s="38"/>
      <c r="I101" s="79">
        <v>7890</v>
      </c>
      <c r="J101" s="23"/>
      <c r="K101" s="167"/>
      <c r="L101" s="25">
        <f t="shared" si="12"/>
        <v>-80.299999999999955</v>
      </c>
      <c r="M101" s="245">
        <f t="shared" si="18"/>
        <v>-633560</v>
      </c>
      <c r="N101" s="154" t="s">
        <v>6</v>
      </c>
      <c r="O101" s="220" t="s">
        <v>94</v>
      </c>
      <c r="P101" s="94"/>
      <c r="Q101" s="94"/>
      <c r="R101" s="226"/>
      <c r="T101" s="261" t="s">
        <v>452</v>
      </c>
      <c r="U101" s="4">
        <v>2</v>
      </c>
      <c r="V101" t="str">
        <f t="shared" si="14"/>
        <v>39027102530002</v>
      </c>
    </row>
    <row r="102" spans="1:22" ht="24" customHeight="1">
      <c r="A102" s="16">
        <v>92</v>
      </c>
      <c r="B102" s="238" t="s">
        <v>18</v>
      </c>
      <c r="C102" s="89" t="s">
        <v>21</v>
      </c>
      <c r="D102" s="90">
        <v>959</v>
      </c>
      <c r="E102" s="44" t="str">
        <f t="shared" si="19"/>
        <v>296-2</v>
      </c>
      <c r="F102" s="18" t="str">
        <f t="shared" si="19"/>
        <v>제방</v>
      </c>
      <c r="G102" s="91">
        <v>930.6</v>
      </c>
      <c r="H102" s="38"/>
      <c r="I102" s="22">
        <v>2640</v>
      </c>
      <c r="J102" s="23"/>
      <c r="K102" s="167"/>
      <c r="L102" s="25">
        <f t="shared" si="12"/>
        <v>-28.399999999999977</v>
      </c>
      <c r="M102" s="245">
        <f t="shared" si="18"/>
        <v>-74970</v>
      </c>
      <c r="N102" s="154" t="s">
        <v>6</v>
      </c>
      <c r="O102" s="93" t="s">
        <v>22</v>
      </c>
      <c r="P102" s="94"/>
      <c r="Q102" s="94"/>
      <c r="R102" s="224"/>
      <c r="T102" s="272" t="s">
        <v>453</v>
      </c>
      <c r="U102">
        <v>2</v>
      </c>
      <c r="V102" t="str">
        <f t="shared" si="14"/>
        <v>39027102960002</v>
      </c>
    </row>
    <row r="103" spans="1:22" ht="24" customHeight="1">
      <c r="A103" s="16">
        <v>93</v>
      </c>
      <c r="B103" s="239" t="s">
        <v>19</v>
      </c>
      <c r="C103" s="89" t="s">
        <v>20</v>
      </c>
      <c r="D103" s="96">
        <v>255</v>
      </c>
      <c r="E103" s="44" t="str">
        <f t="shared" si="19"/>
        <v>296-3</v>
      </c>
      <c r="F103" s="18" t="str">
        <f t="shared" si="19"/>
        <v>하천</v>
      </c>
      <c r="G103" s="89">
        <v>196.4</v>
      </c>
      <c r="H103" s="97"/>
      <c r="I103" s="22">
        <v>2640</v>
      </c>
      <c r="J103" s="23"/>
      <c r="K103" s="167"/>
      <c r="L103" s="25">
        <f t="shared" si="12"/>
        <v>-58.599999999999994</v>
      </c>
      <c r="M103" s="245">
        <f t="shared" si="18"/>
        <v>-154700</v>
      </c>
      <c r="N103" s="154" t="s">
        <v>6</v>
      </c>
      <c r="O103" s="93" t="s">
        <v>22</v>
      </c>
      <c r="P103" s="94"/>
      <c r="Q103" s="94"/>
      <c r="R103" s="224"/>
      <c r="T103" s="264" t="s">
        <v>453</v>
      </c>
      <c r="U103">
        <v>3</v>
      </c>
      <c r="V103" t="str">
        <f t="shared" si="14"/>
        <v>39027102960003</v>
      </c>
    </row>
    <row r="104" spans="1:22" s="4" customFormat="1" ht="24" customHeight="1">
      <c r="A104" s="16">
        <v>94</v>
      </c>
      <c r="B104" s="232">
        <v>297</v>
      </c>
      <c r="C104" s="18" t="s">
        <v>7</v>
      </c>
      <c r="D104" s="41">
        <v>2366</v>
      </c>
      <c r="E104" s="40">
        <v>297</v>
      </c>
      <c r="F104" s="18" t="s">
        <v>7</v>
      </c>
      <c r="G104" s="30">
        <v>2413.5</v>
      </c>
      <c r="H104" s="38"/>
      <c r="I104" s="22">
        <v>9880</v>
      </c>
      <c r="J104" s="23">
        <f>G104-D104</f>
        <v>47.5</v>
      </c>
      <c r="K104" s="167">
        <f t="shared" si="13"/>
        <v>469300</v>
      </c>
      <c r="L104" s="25" t="str">
        <f t="shared" si="12"/>
        <v/>
      </c>
      <c r="M104" s="245"/>
      <c r="N104" s="154"/>
      <c r="O104" s="42" t="s">
        <v>14</v>
      </c>
      <c r="P104" s="27"/>
      <c r="Q104" s="27"/>
      <c r="R104" s="27"/>
      <c r="S104"/>
      <c r="T104" s="269" t="s">
        <v>454</v>
      </c>
      <c r="V104" t="str">
        <f t="shared" si="14"/>
        <v>39027102970000</v>
      </c>
    </row>
    <row r="105" spans="1:22" ht="24" customHeight="1">
      <c r="A105" s="16">
        <v>95</v>
      </c>
      <c r="B105" s="240" t="s">
        <v>44</v>
      </c>
      <c r="C105" s="89" t="s">
        <v>7</v>
      </c>
      <c r="D105" s="210">
        <v>1601</v>
      </c>
      <c r="E105" s="40" t="s">
        <v>44</v>
      </c>
      <c r="F105" s="18" t="s">
        <v>7</v>
      </c>
      <c r="G105" s="212">
        <v>1656.8</v>
      </c>
      <c r="H105" s="38"/>
      <c r="I105" s="22">
        <v>9880</v>
      </c>
      <c r="J105" s="23">
        <f>G105-D105</f>
        <v>55.799999999999955</v>
      </c>
      <c r="K105" s="167">
        <f t="shared" si="13"/>
        <v>551300</v>
      </c>
      <c r="L105" s="25" t="str">
        <f t="shared" si="12"/>
        <v/>
      </c>
      <c r="M105" s="245"/>
      <c r="N105" s="154"/>
      <c r="O105" s="223" t="s">
        <v>47</v>
      </c>
      <c r="P105" s="94"/>
      <c r="Q105" s="94"/>
      <c r="R105" s="224"/>
      <c r="T105" s="273" t="s">
        <v>455</v>
      </c>
      <c r="U105">
        <v>1</v>
      </c>
      <c r="V105" t="str">
        <f t="shared" si="14"/>
        <v>39027102990001</v>
      </c>
    </row>
    <row r="106" spans="1:22" ht="24" customHeight="1">
      <c r="A106" s="16">
        <v>96</v>
      </c>
      <c r="B106" s="240" t="s">
        <v>45</v>
      </c>
      <c r="C106" s="89" t="s">
        <v>46</v>
      </c>
      <c r="D106" s="210">
        <v>64</v>
      </c>
      <c r="E106" s="40" t="s">
        <v>45</v>
      </c>
      <c r="F106" s="18" t="s">
        <v>46</v>
      </c>
      <c r="G106" s="212">
        <v>82.4</v>
      </c>
      <c r="H106" s="38"/>
      <c r="I106" s="22">
        <v>9880</v>
      </c>
      <c r="J106" s="23">
        <f>G106-D106</f>
        <v>18.400000000000006</v>
      </c>
      <c r="K106" s="167">
        <f t="shared" si="13"/>
        <v>181790</v>
      </c>
      <c r="L106" s="25" t="str">
        <f t="shared" si="12"/>
        <v/>
      </c>
      <c r="M106" s="245"/>
      <c r="N106" s="154"/>
      <c r="O106" s="223" t="s">
        <v>47</v>
      </c>
      <c r="P106" s="94"/>
      <c r="Q106" s="94"/>
      <c r="R106" s="224"/>
      <c r="T106" s="273" t="s">
        <v>455</v>
      </c>
      <c r="U106">
        <v>2</v>
      </c>
      <c r="V106" t="str">
        <f t="shared" si="14"/>
        <v>39027102990002</v>
      </c>
    </row>
    <row r="107" spans="1:22" ht="24" customHeight="1">
      <c r="A107" s="16">
        <v>97</v>
      </c>
      <c r="B107" s="229">
        <v>301</v>
      </c>
      <c r="C107" s="18" t="s">
        <v>7</v>
      </c>
      <c r="D107" s="59">
        <v>678</v>
      </c>
      <c r="E107" s="44">
        <v>301</v>
      </c>
      <c r="F107" s="18" t="s">
        <v>7</v>
      </c>
      <c r="G107" s="60">
        <v>725.4</v>
      </c>
      <c r="H107" s="38"/>
      <c r="I107" s="22">
        <v>8760</v>
      </c>
      <c r="J107" s="23">
        <f>G107-D107</f>
        <v>47.399999999999977</v>
      </c>
      <c r="K107" s="167">
        <f t="shared" si="13"/>
        <v>415220</v>
      </c>
      <c r="L107" s="25" t="str">
        <f t="shared" ref="L107:L138" si="20">IF(G107-D107&gt;0,"",G107-D107)</f>
        <v/>
      </c>
      <c r="M107" s="245"/>
      <c r="N107" s="154"/>
      <c r="O107" s="46" t="s">
        <v>8</v>
      </c>
      <c r="P107" s="27"/>
      <c r="Q107" s="27"/>
      <c r="R107" s="27"/>
      <c r="T107" s="262" t="s">
        <v>456</v>
      </c>
      <c r="V107" t="str">
        <f t="shared" si="14"/>
        <v>39027103010000</v>
      </c>
    </row>
    <row r="108" spans="1:22" ht="24" customHeight="1">
      <c r="A108" s="16">
        <v>98</v>
      </c>
      <c r="B108" s="230">
        <v>308</v>
      </c>
      <c r="C108" s="18" t="s">
        <v>7</v>
      </c>
      <c r="D108" s="200">
        <v>2899</v>
      </c>
      <c r="E108" s="36">
        <f t="shared" ref="E108:F114" si="21">B108</f>
        <v>308</v>
      </c>
      <c r="F108" s="18" t="str">
        <f t="shared" si="21"/>
        <v>답</v>
      </c>
      <c r="G108" s="200">
        <v>3009</v>
      </c>
      <c r="H108" s="112"/>
      <c r="I108" s="22">
        <v>7890</v>
      </c>
      <c r="J108" s="23">
        <f>G108-D108</f>
        <v>110</v>
      </c>
      <c r="K108" s="167">
        <f t="shared" si="13"/>
        <v>867900</v>
      </c>
      <c r="L108" s="25" t="str">
        <f t="shared" si="20"/>
        <v/>
      </c>
      <c r="M108" s="245"/>
      <c r="N108" s="154"/>
      <c r="O108" s="219" t="s">
        <v>150</v>
      </c>
      <c r="P108" s="27"/>
      <c r="Q108" s="27"/>
      <c r="R108" s="27"/>
      <c r="T108" s="263" t="s">
        <v>457</v>
      </c>
      <c r="V108" t="str">
        <f t="shared" si="14"/>
        <v>39027103080000</v>
      </c>
    </row>
    <row r="109" spans="1:22" ht="24" customHeight="1">
      <c r="A109" s="16">
        <v>99</v>
      </c>
      <c r="B109" s="49">
        <v>309</v>
      </c>
      <c r="C109" s="18" t="s">
        <v>7</v>
      </c>
      <c r="D109" s="65">
        <v>843</v>
      </c>
      <c r="E109" s="36">
        <f t="shared" si="21"/>
        <v>309</v>
      </c>
      <c r="F109" s="18" t="str">
        <f t="shared" si="21"/>
        <v>답</v>
      </c>
      <c r="G109" s="30">
        <v>797.3</v>
      </c>
      <c r="H109" s="38"/>
      <c r="I109" s="22">
        <v>7890</v>
      </c>
      <c r="J109" s="23"/>
      <c r="K109" s="167"/>
      <c r="L109" s="25">
        <f t="shared" si="20"/>
        <v>-45.700000000000045</v>
      </c>
      <c r="M109" s="245">
        <f>ROUNDDOWN(IF(L109&gt;0,"",I109*L109),-1)</f>
        <v>-360570</v>
      </c>
      <c r="N109" s="154"/>
      <c r="O109" s="52" t="s">
        <v>82</v>
      </c>
      <c r="P109" s="27"/>
      <c r="Q109" s="27"/>
      <c r="R109" s="43"/>
      <c r="T109" s="268" t="s">
        <v>458</v>
      </c>
      <c r="V109" t="str">
        <f t="shared" si="14"/>
        <v>39027103090000</v>
      </c>
    </row>
    <row r="110" spans="1:22" ht="24" customHeight="1">
      <c r="A110" s="16">
        <v>100</v>
      </c>
      <c r="B110" s="230">
        <v>312</v>
      </c>
      <c r="C110" s="18" t="s">
        <v>7</v>
      </c>
      <c r="D110" s="200">
        <v>3468</v>
      </c>
      <c r="E110" s="36">
        <f t="shared" si="21"/>
        <v>312</v>
      </c>
      <c r="F110" s="18" t="str">
        <f t="shared" si="21"/>
        <v>답</v>
      </c>
      <c r="G110" s="200">
        <v>3484.3</v>
      </c>
      <c r="H110" s="112"/>
      <c r="I110" s="22">
        <v>7890</v>
      </c>
      <c r="J110" s="23">
        <f>G110-D110</f>
        <v>16.300000000000182</v>
      </c>
      <c r="K110" s="167">
        <f t="shared" si="13"/>
        <v>128600</v>
      </c>
      <c r="L110" s="25" t="str">
        <f t="shared" si="20"/>
        <v/>
      </c>
      <c r="M110" s="245"/>
      <c r="N110" s="154" t="s">
        <v>6</v>
      </c>
      <c r="O110" s="219" t="s">
        <v>88</v>
      </c>
      <c r="P110" s="27"/>
      <c r="Q110" s="27"/>
      <c r="R110" s="27"/>
      <c r="T110" s="263" t="s">
        <v>459</v>
      </c>
      <c r="V110" t="str">
        <f t="shared" si="14"/>
        <v>39027103120000</v>
      </c>
    </row>
    <row r="111" spans="1:22" ht="24" customHeight="1">
      <c r="A111" s="16">
        <v>101</v>
      </c>
      <c r="B111" s="233">
        <v>315</v>
      </c>
      <c r="C111" s="18" t="s">
        <v>7</v>
      </c>
      <c r="D111" s="29">
        <v>2255</v>
      </c>
      <c r="E111" s="28">
        <f t="shared" si="21"/>
        <v>315</v>
      </c>
      <c r="F111" s="18" t="str">
        <f t="shared" si="21"/>
        <v>답</v>
      </c>
      <c r="G111" s="30">
        <v>2279.6</v>
      </c>
      <c r="H111" s="31"/>
      <c r="I111" s="35">
        <v>7890</v>
      </c>
      <c r="J111" s="23">
        <f>G111-D111</f>
        <v>24.599999999999909</v>
      </c>
      <c r="K111" s="167">
        <f t="shared" si="13"/>
        <v>194090</v>
      </c>
      <c r="L111" s="25" t="str">
        <f t="shared" si="20"/>
        <v/>
      </c>
      <c r="M111" s="245"/>
      <c r="N111" s="154"/>
      <c r="O111" s="33" t="s">
        <v>5</v>
      </c>
      <c r="P111" s="27"/>
      <c r="Q111" s="27"/>
      <c r="R111" s="34"/>
      <c r="T111" s="270" t="s">
        <v>460</v>
      </c>
      <c r="V111" t="str">
        <f t="shared" si="14"/>
        <v>39027103150000</v>
      </c>
    </row>
    <row r="112" spans="1:22" ht="24" customHeight="1">
      <c r="A112" s="16">
        <v>102</v>
      </c>
      <c r="B112" s="236" t="s">
        <v>124</v>
      </c>
      <c r="C112" s="89" t="s">
        <v>125</v>
      </c>
      <c r="D112" s="111">
        <v>866</v>
      </c>
      <c r="E112" s="36" t="str">
        <f t="shared" si="21"/>
        <v>317-2</v>
      </c>
      <c r="F112" s="18" t="str">
        <f t="shared" si="21"/>
        <v>임야</v>
      </c>
      <c r="G112" s="111">
        <v>810</v>
      </c>
      <c r="H112" s="112"/>
      <c r="I112" s="22">
        <v>726</v>
      </c>
      <c r="J112" s="23"/>
      <c r="K112" s="167"/>
      <c r="L112" s="25">
        <f t="shared" si="20"/>
        <v>-56</v>
      </c>
      <c r="M112" s="245">
        <f>ROUNDDOWN(IF(L112&gt;0,"",I112*L112),-1)</f>
        <v>-40650</v>
      </c>
      <c r="N112" s="154"/>
      <c r="O112" s="113" t="s">
        <v>126</v>
      </c>
      <c r="P112" s="94"/>
      <c r="Q112" s="94"/>
      <c r="R112" s="94"/>
      <c r="T112" s="114" t="s">
        <v>461</v>
      </c>
      <c r="U112">
        <v>2</v>
      </c>
      <c r="V112" t="str">
        <f t="shared" si="14"/>
        <v>39027103170002</v>
      </c>
    </row>
    <row r="113" spans="1:22" ht="24" customHeight="1">
      <c r="A113" s="16">
        <v>103</v>
      </c>
      <c r="B113" s="231">
        <v>324</v>
      </c>
      <c r="C113" s="18" t="s">
        <v>3</v>
      </c>
      <c r="D113" s="19">
        <v>922</v>
      </c>
      <c r="E113" s="36">
        <f t="shared" si="21"/>
        <v>324</v>
      </c>
      <c r="F113" s="18" t="str">
        <f t="shared" si="21"/>
        <v>전</v>
      </c>
      <c r="G113" s="60">
        <v>914.7</v>
      </c>
      <c r="H113" s="38"/>
      <c r="I113" s="22">
        <v>4480</v>
      </c>
      <c r="J113" s="23"/>
      <c r="K113" s="167"/>
      <c r="L113" s="25">
        <f t="shared" si="20"/>
        <v>-7.2999999999999545</v>
      </c>
      <c r="M113" s="245">
        <f>ROUNDDOWN(IF(L113&gt;0,"",I113*L113),-1)</f>
        <v>-32700</v>
      </c>
      <c r="N113" s="154"/>
      <c r="O113" s="26" t="s">
        <v>64</v>
      </c>
      <c r="P113" s="27"/>
      <c r="Q113" s="27"/>
      <c r="R113" s="43"/>
      <c r="T113" s="69" t="s">
        <v>462</v>
      </c>
      <c r="V113" t="str">
        <f t="shared" si="14"/>
        <v>39027103240000</v>
      </c>
    </row>
    <row r="114" spans="1:22" ht="24" customHeight="1">
      <c r="A114" s="16">
        <v>104</v>
      </c>
      <c r="B114" s="230">
        <v>326</v>
      </c>
      <c r="C114" s="18" t="s">
        <v>7</v>
      </c>
      <c r="D114" s="200">
        <v>1802</v>
      </c>
      <c r="E114" s="36">
        <f t="shared" si="21"/>
        <v>326</v>
      </c>
      <c r="F114" s="18" t="str">
        <f t="shared" si="21"/>
        <v>답</v>
      </c>
      <c r="G114" s="200">
        <v>1772.9</v>
      </c>
      <c r="H114" s="112"/>
      <c r="I114" s="22">
        <v>6880</v>
      </c>
      <c r="J114" s="23"/>
      <c r="K114" s="167"/>
      <c r="L114" s="25">
        <f t="shared" si="20"/>
        <v>-29.099999999999909</v>
      </c>
      <c r="M114" s="245">
        <f>ROUNDDOWN(IF(L114&gt;0,"",I114*L114),-1)</f>
        <v>-200200</v>
      </c>
      <c r="N114" s="154"/>
      <c r="O114" s="219" t="s">
        <v>149</v>
      </c>
      <c r="P114" s="27"/>
      <c r="Q114" s="27"/>
      <c r="R114" s="27"/>
      <c r="T114" s="263" t="s">
        <v>463</v>
      </c>
      <c r="V114" t="str">
        <f t="shared" si="14"/>
        <v>39027103260000</v>
      </c>
    </row>
    <row r="115" spans="1:22" ht="24" customHeight="1">
      <c r="A115" s="16">
        <v>105</v>
      </c>
      <c r="B115" s="237" t="s">
        <v>13</v>
      </c>
      <c r="C115" s="89" t="s">
        <v>2</v>
      </c>
      <c r="D115" s="202">
        <v>300</v>
      </c>
      <c r="E115" s="36" t="s">
        <v>13</v>
      </c>
      <c r="F115" s="18" t="s">
        <v>2</v>
      </c>
      <c r="G115" s="212">
        <v>318</v>
      </c>
      <c r="H115" s="38"/>
      <c r="I115" s="22">
        <v>13900</v>
      </c>
      <c r="J115" s="23">
        <f>G115-D115</f>
        <v>18</v>
      </c>
      <c r="K115" s="167">
        <f t="shared" si="13"/>
        <v>250200</v>
      </c>
      <c r="L115" s="25" t="str">
        <f t="shared" si="20"/>
        <v/>
      </c>
      <c r="M115" s="245"/>
      <c r="N115" s="154"/>
      <c r="O115" s="223" t="s">
        <v>14</v>
      </c>
      <c r="P115" s="94"/>
      <c r="Q115" s="94"/>
      <c r="R115" s="224"/>
      <c r="T115" s="261" t="s">
        <v>464</v>
      </c>
      <c r="U115">
        <v>9</v>
      </c>
      <c r="V115" t="str">
        <f t="shared" si="14"/>
        <v>39027103540009</v>
      </c>
    </row>
    <row r="116" spans="1:22" ht="24" customHeight="1">
      <c r="A116" s="16">
        <v>106</v>
      </c>
      <c r="B116" s="241" t="s">
        <v>69</v>
      </c>
      <c r="C116" s="89" t="s">
        <v>77</v>
      </c>
      <c r="D116" s="208">
        <v>315</v>
      </c>
      <c r="E116" s="36" t="str">
        <f t="shared" ref="E116:E131" si="22">B116</f>
        <v>375-5</v>
      </c>
      <c r="F116" s="18" t="str">
        <f t="shared" ref="F116:F131" si="23">C116</f>
        <v>구거</v>
      </c>
      <c r="G116" s="212">
        <v>373.4</v>
      </c>
      <c r="H116" s="71"/>
      <c r="I116" s="22">
        <v>3790</v>
      </c>
      <c r="J116" s="23">
        <f>G116-D116</f>
        <v>58.399999999999977</v>
      </c>
      <c r="K116" s="167">
        <f t="shared" si="13"/>
        <v>221330</v>
      </c>
      <c r="L116" s="25" t="str">
        <f t="shared" si="20"/>
        <v/>
      </c>
      <c r="M116" s="245"/>
      <c r="N116" s="154"/>
      <c r="O116" s="98" t="s">
        <v>78</v>
      </c>
      <c r="P116" s="94"/>
      <c r="Q116" s="94"/>
      <c r="R116" s="224"/>
      <c r="T116" s="274" t="s">
        <v>465</v>
      </c>
      <c r="U116">
        <v>5</v>
      </c>
      <c r="V116" t="str">
        <f t="shared" si="14"/>
        <v>39027103750005</v>
      </c>
    </row>
    <row r="117" spans="1:22" ht="24" customHeight="1">
      <c r="A117" s="16">
        <v>107</v>
      </c>
      <c r="B117" s="197" t="s">
        <v>70</v>
      </c>
      <c r="C117" s="89" t="s">
        <v>77</v>
      </c>
      <c r="D117" s="199">
        <v>368</v>
      </c>
      <c r="E117" s="36" t="str">
        <f t="shared" si="22"/>
        <v>378-1</v>
      </c>
      <c r="F117" s="18" t="str">
        <f t="shared" si="23"/>
        <v>구거</v>
      </c>
      <c r="G117" s="212">
        <v>305.39999999999998</v>
      </c>
      <c r="H117" s="75"/>
      <c r="I117" s="22">
        <v>3790</v>
      </c>
      <c r="J117" s="23"/>
      <c r="K117" s="167"/>
      <c r="L117" s="25">
        <f t="shared" si="20"/>
        <v>-62.600000000000023</v>
      </c>
      <c r="M117" s="245">
        <f>ROUNDDOWN(IF(L117&gt;0,"",I117*L117),-1)</f>
        <v>-237250</v>
      </c>
      <c r="N117" s="154"/>
      <c r="O117" s="98" t="s">
        <v>78</v>
      </c>
      <c r="P117" s="94"/>
      <c r="Q117" s="94"/>
      <c r="R117" s="225"/>
      <c r="T117" s="275" t="s">
        <v>466</v>
      </c>
      <c r="U117">
        <v>1</v>
      </c>
      <c r="V117" t="str">
        <f t="shared" si="14"/>
        <v>39027103780001</v>
      </c>
    </row>
    <row r="118" spans="1:22" ht="24" customHeight="1">
      <c r="A118" s="16">
        <v>108</v>
      </c>
      <c r="B118" s="236" t="s">
        <v>120</v>
      </c>
      <c r="C118" s="89" t="s">
        <v>3</v>
      </c>
      <c r="D118" s="111">
        <v>69</v>
      </c>
      <c r="E118" s="36" t="str">
        <f t="shared" si="22"/>
        <v>378-2</v>
      </c>
      <c r="F118" s="18" t="str">
        <f t="shared" si="23"/>
        <v>전</v>
      </c>
      <c r="G118" s="111">
        <v>44</v>
      </c>
      <c r="H118" s="112"/>
      <c r="I118" s="22">
        <v>8610</v>
      </c>
      <c r="J118" s="23"/>
      <c r="K118" s="167"/>
      <c r="L118" s="25">
        <f t="shared" si="20"/>
        <v>-25</v>
      </c>
      <c r="M118" s="245">
        <f>IF(L118&gt;0,"",I118*L118)</f>
        <v>-215250</v>
      </c>
      <c r="N118" s="154"/>
      <c r="O118" s="113" t="s">
        <v>47</v>
      </c>
      <c r="P118" s="94"/>
      <c r="Q118" s="94"/>
      <c r="R118" s="94"/>
      <c r="T118" s="114" t="s">
        <v>466</v>
      </c>
      <c r="U118">
        <v>2</v>
      </c>
      <c r="V118" t="str">
        <f t="shared" si="14"/>
        <v>39027103780002</v>
      </c>
    </row>
    <row r="119" spans="1:22" ht="24" customHeight="1">
      <c r="A119" s="16">
        <v>109</v>
      </c>
      <c r="B119" s="236" t="s">
        <v>145</v>
      </c>
      <c r="C119" s="89" t="s">
        <v>3</v>
      </c>
      <c r="D119" s="111">
        <v>523</v>
      </c>
      <c r="E119" s="36" t="str">
        <f t="shared" si="22"/>
        <v>380-1</v>
      </c>
      <c r="F119" s="18" t="str">
        <f t="shared" si="23"/>
        <v>전</v>
      </c>
      <c r="G119" s="111">
        <v>552.70000000000005</v>
      </c>
      <c r="H119" s="112"/>
      <c r="I119" s="22">
        <v>9720</v>
      </c>
      <c r="J119" s="23">
        <f>G119-D119</f>
        <v>29.700000000000045</v>
      </c>
      <c r="K119" s="167">
        <f t="shared" si="13"/>
        <v>288680</v>
      </c>
      <c r="L119" s="25" t="str">
        <f t="shared" si="20"/>
        <v/>
      </c>
      <c r="M119" s="245"/>
      <c r="N119" s="154"/>
      <c r="O119" s="113" t="s">
        <v>146</v>
      </c>
      <c r="P119" s="94"/>
      <c r="Q119" s="94"/>
      <c r="R119" s="94"/>
      <c r="T119" s="114" t="s">
        <v>467</v>
      </c>
      <c r="U119">
        <v>1</v>
      </c>
      <c r="V119" t="str">
        <f t="shared" si="14"/>
        <v>39027103800001</v>
      </c>
    </row>
    <row r="120" spans="1:22" ht="24" customHeight="1">
      <c r="A120" s="16">
        <v>110</v>
      </c>
      <c r="B120" s="240" t="s">
        <v>83</v>
      </c>
      <c r="C120" s="89" t="s">
        <v>1</v>
      </c>
      <c r="D120" s="210">
        <v>350</v>
      </c>
      <c r="E120" s="36" t="str">
        <f t="shared" si="22"/>
        <v>383-2</v>
      </c>
      <c r="F120" s="18" t="str">
        <f t="shared" si="23"/>
        <v>대</v>
      </c>
      <c r="G120" s="212">
        <v>422.1</v>
      </c>
      <c r="H120" s="38"/>
      <c r="I120" s="22">
        <v>12300</v>
      </c>
      <c r="J120" s="23">
        <f>G120-D120</f>
        <v>72.100000000000023</v>
      </c>
      <c r="K120" s="167">
        <f t="shared" si="13"/>
        <v>886830</v>
      </c>
      <c r="L120" s="25" t="str">
        <f t="shared" si="20"/>
        <v/>
      </c>
      <c r="M120" s="245"/>
      <c r="N120" s="154"/>
      <c r="O120" s="223" t="s">
        <v>84</v>
      </c>
      <c r="P120" s="94"/>
      <c r="Q120" s="94"/>
      <c r="R120" s="224"/>
      <c r="T120" s="273" t="s">
        <v>468</v>
      </c>
      <c r="U120">
        <v>2</v>
      </c>
      <c r="V120" t="str">
        <f t="shared" si="14"/>
        <v>39027103830002</v>
      </c>
    </row>
    <row r="121" spans="1:22" ht="24" customHeight="1">
      <c r="A121" s="16">
        <v>111</v>
      </c>
      <c r="B121" s="236" t="s">
        <v>132</v>
      </c>
      <c r="C121" s="89" t="s">
        <v>3</v>
      </c>
      <c r="D121" s="111">
        <v>4046</v>
      </c>
      <c r="E121" s="36" t="str">
        <f t="shared" si="22"/>
        <v>384-2</v>
      </c>
      <c r="F121" s="18" t="str">
        <f t="shared" si="23"/>
        <v>전</v>
      </c>
      <c r="G121" s="111">
        <v>3869.2</v>
      </c>
      <c r="H121" s="112"/>
      <c r="I121" s="22">
        <v>8610</v>
      </c>
      <c r="J121" s="23"/>
      <c r="K121" s="167"/>
      <c r="L121" s="25">
        <f t="shared" si="20"/>
        <v>-176.80000000000018</v>
      </c>
      <c r="M121" s="245">
        <f>ROUNDDOWN(IF(L121&gt;0,"",I121*L121),-1)</f>
        <v>-1522240</v>
      </c>
      <c r="N121" s="154"/>
      <c r="O121" s="113" t="s">
        <v>133</v>
      </c>
      <c r="P121" s="94"/>
      <c r="Q121" s="94"/>
      <c r="R121" s="94"/>
      <c r="T121" s="114" t="s">
        <v>469</v>
      </c>
      <c r="U121">
        <v>2</v>
      </c>
      <c r="V121" t="str">
        <f t="shared" si="14"/>
        <v>39027103840002</v>
      </c>
    </row>
    <row r="122" spans="1:22" ht="24" customHeight="1">
      <c r="A122" s="16">
        <v>112</v>
      </c>
      <c r="B122" s="236" t="s">
        <v>147</v>
      </c>
      <c r="C122" s="89" t="s">
        <v>3</v>
      </c>
      <c r="D122" s="111">
        <v>1146</v>
      </c>
      <c r="E122" s="36" t="str">
        <f t="shared" si="22"/>
        <v>384-4</v>
      </c>
      <c r="F122" s="18" t="str">
        <f t="shared" si="23"/>
        <v>전</v>
      </c>
      <c r="G122" s="111">
        <v>1216.9000000000001</v>
      </c>
      <c r="H122" s="112"/>
      <c r="I122" s="22">
        <v>9120</v>
      </c>
      <c r="J122" s="23">
        <f>G122-D122</f>
        <v>70.900000000000091</v>
      </c>
      <c r="K122" s="167">
        <f t="shared" si="13"/>
        <v>646600</v>
      </c>
      <c r="L122" s="25" t="str">
        <f t="shared" si="20"/>
        <v/>
      </c>
      <c r="M122" s="245"/>
      <c r="N122" s="154"/>
      <c r="O122" s="113" t="s">
        <v>148</v>
      </c>
      <c r="P122" s="94"/>
      <c r="Q122" s="94"/>
      <c r="R122" s="94"/>
      <c r="T122" s="114" t="s">
        <v>469</v>
      </c>
      <c r="U122">
        <v>4</v>
      </c>
      <c r="V122" t="str">
        <f t="shared" si="14"/>
        <v>39027103840004</v>
      </c>
    </row>
    <row r="123" spans="1:22" ht="24" customHeight="1">
      <c r="A123" s="16">
        <v>113</v>
      </c>
      <c r="B123" s="197" t="s">
        <v>71</v>
      </c>
      <c r="C123" s="89" t="s">
        <v>77</v>
      </c>
      <c r="D123" s="199">
        <v>117</v>
      </c>
      <c r="E123" s="36" t="str">
        <f t="shared" si="22"/>
        <v>387-1</v>
      </c>
      <c r="F123" s="18" t="str">
        <f t="shared" si="23"/>
        <v>구거</v>
      </c>
      <c r="G123" s="212">
        <v>108.5</v>
      </c>
      <c r="H123" s="75"/>
      <c r="I123" s="22">
        <v>3790</v>
      </c>
      <c r="J123" s="23"/>
      <c r="K123" s="167"/>
      <c r="L123" s="25">
        <f t="shared" si="20"/>
        <v>-8.5</v>
      </c>
      <c r="M123" s="245">
        <f>ROUNDDOWN(IF(L123&gt;0,"",I123*L123),-1)</f>
        <v>-32210</v>
      </c>
      <c r="N123" s="154"/>
      <c r="O123" s="98" t="s">
        <v>78</v>
      </c>
      <c r="P123" s="94"/>
      <c r="Q123" s="94"/>
      <c r="R123" s="225"/>
      <c r="T123" s="275" t="s">
        <v>470</v>
      </c>
      <c r="U123">
        <v>1</v>
      </c>
      <c r="V123" t="str">
        <f t="shared" si="14"/>
        <v>39027103870001</v>
      </c>
    </row>
    <row r="124" spans="1:22" ht="24" customHeight="1">
      <c r="A124" s="16">
        <v>114</v>
      </c>
      <c r="B124" s="230">
        <v>390</v>
      </c>
      <c r="C124" s="18" t="s">
        <v>7</v>
      </c>
      <c r="D124" s="200">
        <v>2537</v>
      </c>
      <c r="E124" s="36">
        <f t="shared" si="22"/>
        <v>390</v>
      </c>
      <c r="F124" s="18" t="str">
        <f t="shared" si="23"/>
        <v>답</v>
      </c>
      <c r="G124" s="200">
        <v>2625</v>
      </c>
      <c r="H124" s="112"/>
      <c r="I124" s="22">
        <v>9120</v>
      </c>
      <c r="J124" s="23">
        <f>G124-D124</f>
        <v>88</v>
      </c>
      <c r="K124" s="167">
        <f t="shared" si="13"/>
        <v>802560</v>
      </c>
      <c r="L124" s="25" t="str">
        <f t="shared" si="20"/>
        <v/>
      </c>
      <c r="M124" s="245"/>
      <c r="N124" s="154"/>
      <c r="O124" s="219" t="s">
        <v>144</v>
      </c>
      <c r="P124" s="27"/>
      <c r="Q124" s="27"/>
      <c r="R124" s="27"/>
      <c r="T124" s="263" t="s">
        <v>471</v>
      </c>
      <c r="V124" t="str">
        <f t="shared" si="14"/>
        <v>39027103900000</v>
      </c>
    </row>
    <row r="125" spans="1:22" ht="24" customHeight="1">
      <c r="A125" s="16">
        <v>115</v>
      </c>
      <c r="B125" s="238" t="s">
        <v>61</v>
      </c>
      <c r="C125" s="89" t="s">
        <v>7</v>
      </c>
      <c r="D125" s="204">
        <v>919</v>
      </c>
      <c r="E125" s="36" t="str">
        <f t="shared" si="22"/>
        <v>405-1</v>
      </c>
      <c r="F125" s="18" t="str">
        <f t="shared" si="23"/>
        <v>답</v>
      </c>
      <c r="G125" s="213">
        <v>678</v>
      </c>
      <c r="H125" s="38"/>
      <c r="I125" s="22">
        <v>8610</v>
      </c>
      <c r="J125" s="23"/>
      <c r="K125" s="167"/>
      <c r="L125" s="25">
        <f t="shared" si="20"/>
        <v>-241</v>
      </c>
      <c r="M125" s="245">
        <f>IF(L125&gt;0,"",I125*L125)</f>
        <v>-2075010</v>
      </c>
      <c r="N125" s="154"/>
      <c r="O125" s="93" t="s">
        <v>63</v>
      </c>
      <c r="P125" s="94"/>
      <c r="Q125" s="94"/>
      <c r="R125" s="94"/>
      <c r="T125" s="272" t="s">
        <v>472</v>
      </c>
      <c r="U125">
        <v>1</v>
      </c>
      <c r="V125" t="str">
        <f t="shared" si="14"/>
        <v>39027104050001</v>
      </c>
    </row>
    <row r="126" spans="1:22" ht="24" customHeight="1">
      <c r="A126" s="16">
        <v>116</v>
      </c>
      <c r="B126" s="239" t="s">
        <v>101</v>
      </c>
      <c r="C126" s="89" t="s">
        <v>7</v>
      </c>
      <c r="D126" s="96">
        <v>598</v>
      </c>
      <c r="E126" s="36" t="str">
        <f t="shared" si="22"/>
        <v>411-3</v>
      </c>
      <c r="F126" s="18" t="str">
        <f t="shared" si="23"/>
        <v>답</v>
      </c>
      <c r="G126" s="89">
        <v>639.79999999999995</v>
      </c>
      <c r="H126" s="21"/>
      <c r="I126" s="22">
        <v>9720</v>
      </c>
      <c r="J126" s="23">
        <f t="shared" ref="J126:J138" si="24">G126-D126</f>
        <v>41.799999999999955</v>
      </c>
      <c r="K126" s="167">
        <f t="shared" si="13"/>
        <v>406290</v>
      </c>
      <c r="L126" s="25" t="str">
        <f t="shared" si="20"/>
        <v/>
      </c>
      <c r="M126" s="245"/>
      <c r="N126" s="154" t="s">
        <v>6</v>
      </c>
      <c r="O126" s="98" t="s">
        <v>23</v>
      </c>
      <c r="P126" s="94"/>
      <c r="Q126" s="94"/>
      <c r="R126" s="94"/>
      <c r="T126" s="264" t="s">
        <v>473</v>
      </c>
      <c r="U126">
        <v>3</v>
      </c>
      <c r="V126" t="str">
        <f t="shared" si="14"/>
        <v>39027104110003</v>
      </c>
    </row>
    <row r="127" spans="1:22" ht="24" customHeight="1">
      <c r="A127" s="16">
        <v>117</v>
      </c>
      <c r="B127" s="49">
        <v>416</v>
      </c>
      <c r="C127" s="18" t="s">
        <v>7</v>
      </c>
      <c r="D127" s="65">
        <v>2764</v>
      </c>
      <c r="E127" s="36">
        <f t="shared" si="22"/>
        <v>416</v>
      </c>
      <c r="F127" s="18" t="str">
        <f t="shared" si="23"/>
        <v>답</v>
      </c>
      <c r="G127" s="30">
        <v>2932.5</v>
      </c>
      <c r="H127" s="38"/>
      <c r="I127" s="22">
        <v>8860</v>
      </c>
      <c r="J127" s="23">
        <f t="shared" si="24"/>
        <v>168.5</v>
      </c>
      <c r="K127" s="167">
        <f t="shared" si="13"/>
        <v>1492910</v>
      </c>
      <c r="L127" s="25" t="str">
        <f t="shared" si="20"/>
        <v/>
      </c>
      <c r="M127" s="245"/>
      <c r="N127" s="154"/>
      <c r="O127" s="26" t="s">
        <v>78</v>
      </c>
      <c r="P127" s="27"/>
      <c r="Q127" s="27"/>
      <c r="R127" s="43"/>
      <c r="T127" s="268" t="s">
        <v>474</v>
      </c>
      <c r="V127" t="str">
        <f t="shared" si="14"/>
        <v>39027104160000</v>
      </c>
    </row>
    <row r="128" spans="1:22" ht="24" customHeight="1">
      <c r="A128" s="16">
        <v>118</v>
      </c>
      <c r="B128" s="197" t="s">
        <v>72</v>
      </c>
      <c r="C128" s="89" t="s">
        <v>7</v>
      </c>
      <c r="D128" s="199">
        <v>2509</v>
      </c>
      <c r="E128" s="36" t="str">
        <f t="shared" si="22"/>
        <v>418-2</v>
      </c>
      <c r="F128" s="18" t="str">
        <f t="shared" si="23"/>
        <v>답</v>
      </c>
      <c r="G128" s="212">
        <v>2736.7</v>
      </c>
      <c r="H128" s="38"/>
      <c r="I128" s="22">
        <v>9390</v>
      </c>
      <c r="J128" s="23">
        <f t="shared" si="24"/>
        <v>227.69999999999982</v>
      </c>
      <c r="K128" s="167">
        <f t="shared" si="13"/>
        <v>2138100</v>
      </c>
      <c r="L128" s="25" t="str">
        <f t="shared" si="20"/>
        <v/>
      </c>
      <c r="M128" s="245"/>
      <c r="N128" s="154"/>
      <c r="O128" s="98" t="s">
        <v>78</v>
      </c>
      <c r="P128" s="94"/>
      <c r="Q128" s="94"/>
      <c r="R128" s="224"/>
      <c r="T128" s="275" t="s">
        <v>475</v>
      </c>
      <c r="U128">
        <v>2</v>
      </c>
      <c r="V128" t="str">
        <f t="shared" si="14"/>
        <v>39027104180002</v>
      </c>
    </row>
    <row r="129" spans="1:22" ht="24" customHeight="1">
      <c r="A129" s="16">
        <v>119</v>
      </c>
      <c r="B129" s="238" t="s">
        <v>62</v>
      </c>
      <c r="C129" s="89" t="s">
        <v>7</v>
      </c>
      <c r="D129" s="204">
        <v>139</v>
      </c>
      <c r="E129" s="36" t="str">
        <f t="shared" si="22"/>
        <v>419-1</v>
      </c>
      <c r="F129" s="18" t="str">
        <f t="shared" si="23"/>
        <v>답</v>
      </c>
      <c r="G129" s="213">
        <v>380</v>
      </c>
      <c r="H129" s="38"/>
      <c r="I129" s="22">
        <v>9120</v>
      </c>
      <c r="J129" s="23">
        <f t="shared" si="24"/>
        <v>241</v>
      </c>
      <c r="K129" s="167">
        <f t="shared" si="13"/>
        <v>2197920</v>
      </c>
      <c r="L129" s="25" t="str">
        <f t="shared" si="20"/>
        <v/>
      </c>
      <c r="M129" s="245"/>
      <c r="N129" s="154"/>
      <c r="O129" s="93" t="s">
        <v>63</v>
      </c>
      <c r="P129" s="94"/>
      <c r="Q129" s="94"/>
      <c r="R129" s="224"/>
      <c r="T129" s="272" t="s">
        <v>476</v>
      </c>
      <c r="U129">
        <v>1</v>
      </c>
      <c r="V129" t="str">
        <f t="shared" si="14"/>
        <v>39027104190001</v>
      </c>
    </row>
    <row r="130" spans="1:22" ht="24" customHeight="1">
      <c r="A130" s="16">
        <v>120</v>
      </c>
      <c r="B130" s="230">
        <v>454</v>
      </c>
      <c r="C130" s="18" t="s">
        <v>7</v>
      </c>
      <c r="D130" s="200">
        <v>2367</v>
      </c>
      <c r="E130" s="36">
        <f t="shared" si="22"/>
        <v>454</v>
      </c>
      <c r="F130" s="18" t="str">
        <f t="shared" si="23"/>
        <v>답</v>
      </c>
      <c r="G130" s="200">
        <v>2377.8000000000002</v>
      </c>
      <c r="H130" s="112"/>
      <c r="I130" s="22">
        <v>9120</v>
      </c>
      <c r="J130" s="23">
        <f t="shared" si="24"/>
        <v>10.800000000000182</v>
      </c>
      <c r="K130" s="167">
        <f t="shared" si="13"/>
        <v>98490</v>
      </c>
      <c r="L130" s="25" t="str">
        <f t="shared" si="20"/>
        <v/>
      </c>
      <c r="M130" s="245"/>
      <c r="N130" s="154"/>
      <c r="O130" s="219" t="s">
        <v>118</v>
      </c>
      <c r="P130" s="27"/>
      <c r="Q130" s="27"/>
      <c r="R130" s="27"/>
      <c r="T130" s="263" t="s">
        <v>477</v>
      </c>
      <c r="V130" t="str">
        <f t="shared" si="14"/>
        <v>39027104540000</v>
      </c>
    </row>
    <row r="131" spans="1:22" ht="24" customHeight="1">
      <c r="A131" s="16">
        <v>121</v>
      </c>
      <c r="B131" s="228">
        <v>455</v>
      </c>
      <c r="C131" s="18" t="s">
        <v>7</v>
      </c>
      <c r="D131" s="37">
        <v>1189</v>
      </c>
      <c r="E131" s="36">
        <f t="shared" si="22"/>
        <v>455</v>
      </c>
      <c r="F131" s="18" t="str">
        <f t="shared" si="23"/>
        <v>답</v>
      </c>
      <c r="G131" s="30">
        <v>1210.0999999999999</v>
      </c>
      <c r="H131" s="38"/>
      <c r="I131" s="22">
        <v>9120</v>
      </c>
      <c r="J131" s="23">
        <f t="shared" si="24"/>
        <v>21.099999999999909</v>
      </c>
      <c r="K131" s="167">
        <f t="shared" si="13"/>
        <v>192430</v>
      </c>
      <c r="L131" s="25" t="str">
        <f t="shared" si="20"/>
        <v/>
      </c>
      <c r="M131" s="245"/>
      <c r="N131" s="154"/>
      <c r="O131" s="39" t="s">
        <v>88</v>
      </c>
      <c r="P131" s="27"/>
      <c r="Q131" s="27"/>
      <c r="R131" s="43"/>
      <c r="T131" s="58" t="s">
        <v>478</v>
      </c>
      <c r="V131" t="str">
        <f t="shared" si="14"/>
        <v>39027104550000</v>
      </c>
    </row>
    <row r="132" spans="1:22" ht="24" customHeight="1">
      <c r="A132" s="16">
        <v>122</v>
      </c>
      <c r="B132" s="239" t="s">
        <v>9</v>
      </c>
      <c r="C132" s="89" t="s">
        <v>7</v>
      </c>
      <c r="D132" s="201">
        <v>9</v>
      </c>
      <c r="E132" s="17" t="s">
        <v>9</v>
      </c>
      <c r="F132" s="18" t="s">
        <v>7</v>
      </c>
      <c r="G132" s="216">
        <v>13.7</v>
      </c>
      <c r="H132" s="21"/>
      <c r="I132" s="22">
        <v>2700</v>
      </c>
      <c r="J132" s="23">
        <f t="shared" si="24"/>
        <v>4.6999999999999993</v>
      </c>
      <c r="K132" s="167">
        <f t="shared" si="13"/>
        <v>12690</v>
      </c>
      <c r="L132" s="25" t="str">
        <f t="shared" si="20"/>
        <v/>
      </c>
      <c r="M132" s="245"/>
      <c r="N132" s="154"/>
      <c r="O132" s="98" t="s">
        <v>8</v>
      </c>
      <c r="P132" s="94"/>
      <c r="Q132" s="94"/>
      <c r="R132" s="94"/>
      <c r="T132" s="264" t="s">
        <v>479</v>
      </c>
      <c r="U132">
        <v>1</v>
      </c>
      <c r="V132" t="str">
        <f t="shared" si="14"/>
        <v>39027104610001</v>
      </c>
    </row>
    <row r="133" spans="1:22" ht="24" customHeight="1">
      <c r="A133" s="16">
        <v>123</v>
      </c>
      <c r="B133" s="238" t="s">
        <v>73</v>
      </c>
      <c r="C133" s="89" t="s">
        <v>77</v>
      </c>
      <c r="D133" s="204">
        <v>443</v>
      </c>
      <c r="E133" s="36" t="str">
        <f>B133</f>
        <v>472-2</v>
      </c>
      <c r="F133" s="18" t="str">
        <f>C133</f>
        <v>구거</v>
      </c>
      <c r="G133" s="213">
        <v>486.3</v>
      </c>
      <c r="H133" s="38"/>
      <c r="I133" s="22">
        <v>3790</v>
      </c>
      <c r="J133" s="23">
        <f t="shared" si="24"/>
        <v>43.300000000000011</v>
      </c>
      <c r="K133" s="167">
        <f t="shared" si="13"/>
        <v>164100</v>
      </c>
      <c r="L133" s="25" t="str">
        <f t="shared" si="20"/>
        <v/>
      </c>
      <c r="M133" s="245"/>
      <c r="N133" s="154"/>
      <c r="O133" s="98" t="s">
        <v>78</v>
      </c>
      <c r="P133" s="94"/>
      <c r="Q133" s="94"/>
      <c r="R133" s="224"/>
      <c r="T133" s="272" t="s">
        <v>480</v>
      </c>
      <c r="U133">
        <v>2</v>
      </c>
      <c r="V133" t="str">
        <f t="shared" si="14"/>
        <v>39027104720002</v>
      </c>
    </row>
    <row r="134" spans="1:22" s="4" customFormat="1" ht="24" customHeight="1">
      <c r="A134" s="16">
        <v>124</v>
      </c>
      <c r="B134" s="230">
        <v>473</v>
      </c>
      <c r="C134" s="18" t="s">
        <v>7</v>
      </c>
      <c r="D134" s="200">
        <v>2778</v>
      </c>
      <c r="E134" s="36">
        <f>B134</f>
        <v>473</v>
      </c>
      <c r="F134" s="18" t="str">
        <f>C134</f>
        <v>답</v>
      </c>
      <c r="G134" s="200">
        <v>2829.8</v>
      </c>
      <c r="H134" s="112"/>
      <c r="I134" s="22">
        <v>9120</v>
      </c>
      <c r="J134" s="23">
        <f t="shared" si="24"/>
        <v>51.800000000000182</v>
      </c>
      <c r="K134" s="167">
        <f t="shared" si="13"/>
        <v>472410</v>
      </c>
      <c r="L134" s="25" t="str">
        <f t="shared" si="20"/>
        <v/>
      </c>
      <c r="M134" s="245"/>
      <c r="N134" s="154"/>
      <c r="O134" s="219" t="s">
        <v>129</v>
      </c>
      <c r="P134" s="27"/>
      <c r="Q134" s="27"/>
      <c r="R134" s="27"/>
      <c r="T134" s="263" t="s">
        <v>481</v>
      </c>
      <c r="V134" t="str">
        <f t="shared" si="14"/>
        <v>39027104730000</v>
      </c>
    </row>
    <row r="135" spans="1:22" s="4" customFormat="1" ht="24" customHeight="1">
      <c r="A135" s="16">
        <v>125</v>
      </c>
      <c r="B135" s="231">
        <v>474</v>
      </c>
      <c r="C135" s="18" t="s">
        <v>3</v>
      </c>
      <c r="D135" s="19">
        <v>2559</v>
      </c>
      <c r="E135" s="17">
        <v>474</v>
      </c>
      <c r="F135" s="18" t="s">
        <v>3</v>
      </c>
      <c r="G135" s="20">
        <v>2576.6999999999998</v>
      </c>
      <c r="H135" s="21"/>
      <c r="I135" s="22">
        <v>9120</v>
      </c>
      <c r="J135" s="23">
        <f t="shared" si="24"/>
        <v>17.699999999999818</v>
      </c>
      <c r="K135" s="167">
        <f t="shared" si="13"/>
        <v>161420</v>
      </c>
      <c r="L135" s="25" t="str">
        <f t="shared" si="20"/>
        <v/>
      </c>
      <c r="M135" s="245"/>
      <c r="N135" s="154"/>
      <c r="O135" s="26" t="s">
        <v>8</v>
      </c>
      <c r="P135" s="27"/>
      <c r="Q135" s="27"/>
      <c r="R135" s="27"/>
      <c r="T135" s="69" t="s">
        <v>482</v>
      </c>
      <c r="V135" t="str">
        <f t="shared" si="14"/>
        <v>39027104740000</v>
      </c>
    </row>
    <row r="136" spans="1:22" ht="24" customHeight="1">
      <c r="A136" s="16">
        <v>126</v>
      </c>
      <c r="B136" s="231">
        <v>475</v>
      </c>
      <c r="C136" s="18" t="s">
        <v>3</v>
      </c>
      <c r="D136" s="19">
        <v>2574</v>
      </c>
      <c r="E136" s="17">
        <v>475</v>
      </c>
      <c r="F136" s="18" t="s">
        <v>3</v>
      </c>
      <c r="G136" s="20">
        <v>2627.6</v>
      </c>
      <c r="H136" s="21"/>
      <c r="I136" s="22">
        <v>9120</v>
      </c>
      <c r="J136" s="23">
        <f t="shared" si="24"/>
        <v>53.599999999999909</v>
      </c>
      <c r="K136" s="167">
        <f t="shared" si="13"/>
        <v>488830</v>
      </c>
      <c r="L136" s="25" t="str">
        <f t="shared" si="20"/>
        <v/>
      </c>
      <c r="M136" s="245"/>
      <c r="N136" s="154"/>
      <c r="O136" s="26" t="s">
        <v>8</v>
      </c>
      <c r="P136" s="27"/>
      <c r="Q136" s="27"/>
      <c r="R136" s="27"/>
      <c r="T136" s="69" t="s">
        <v>483</v>
      </c>
      <c r="V136" t="str">
        <f t="shared" si="14"/>
        <v>39027104750000</v>
      </c>
    </row>
    <row r="137" spans="1:22" ht="24" customHeight="1">
      <c r="A137" s="16">
        <v>127</v>
      </c>
      <c r="B137" s="238" t="s">
        <v>96</v>
      </c>
      <c r="C137" s="89" t="s">
        <v>3</v>
      </c>
      <c r="D137" s="90">
        <v>1319</v>
      </c>
      <c r="E137" s="36" t="str">
        <f t="shared" ref="E137:F141" si="25">B137</f>
        <v>478-2</v>
      </c>
      <c r="F137" s="18" t="str">
        <f t="shared" si="25"/>
        <v>전</v>
      </c>
      <c r="G137" s="91">
        <v>1385.8</v>
      </c>
      <c r="H137" s="38"/>
      <c r="I137" s="22">
        <v>9120</v>
      </c>
      <c r="J137" s="23">
        <f t="shared" si="24"/>
        <v>66.799999999999955</v>
      </c>
      <c r="K137" s="167">
        <f t="shared" si="13"/>
        <v>609210</v>
      </c>
      <c r="L137" s="25" t="str">
        <f t="shared" si="20"/>
        <v/>
      </c>
      <c r="M137" s="245"/>
      <c r="N137" s="154" t="s">
        <v>6</v>
      </c>
      <c r="O137" s="93" t="s">
        <v>97</v>
      </c>
      <c r="P137" s="94"/>
      <c r="Q137" s="94"/>
      <c r="R137" s="94"/>
      <c r="T137" s="272" t="s">
        <v>484</v>
      </c>
      <c r="U137">
        <v>2</v>
      </c>
      <c r="V137" t="str">
        <f t="shared" si="14"/>
        <v>39027104780002</v>
      </c>
    </row>
    <row r="138" spans="1:22" ht="24" customHeight="1">
      <c r="A138" s="16">
        <v>128</v>
      </c>
      <c r="B138" s="238" t="s">
        <v>74</v>
      </c>
      <c r="C138" s="89" t="s">
        <v>77</v>
      </c>
      <c r="D138" s="204">
        <v>186</v>
      </c>
      <c r="E138" s="36" t="str">
        <f t="shared" si="25"/>
        <v>482-5</v>
      </c>
      <c r="F138" s="18" t="str">
        <f t="shared" si="25"/>
        <v>구거</v>
      </c>
      <c r="G138" s="213">
        <v>192.4</v>
      </c>
      <c r="H138" s="38"/>
      <c r="I138" s="22">
        <v>3790</v>
      </c>
      <c r="J138" s="23">
        <f t="shared" si="24"/>
        <v>6.4000000000000057</v>
      </c>
      <c r="K138" s="167">
        <f t="shared" si="13"/>
        <v>24250</v>
      </c>
      <c r="L138" s="25" t="str">
        <f t="shared" si="20"/>
        <v/>
      </c>
      <c r="M138" s="245"/>
      <c r="N138" s="154"/>
      <c r="O138" s="98" t="s">
        <v>78</v>
      </c>
      <c r="P138" s="94"/>
      <c r="Q138" s="94"/>
      <c r="R138" s="224"/>
      <c r="T138" s="272" t="s">
        <v>485</v>
      </c>
      <c r="U138">
        <v>5</v>
      </c>
      <c r="V138" t="str">
        <f t="shared" si="14"/>
        <v>39027104820005</v>
      </c>
    </row>
    <row r="139" spans="1:22" ht="24" customHeight="1">
      <c r="A139" s="16">
        <v>129</v>
      </c>
      <c r="B139" s="238" t="s">
        <v>75</v>
      </c>
      <c r="C139" s="89" t="s">
        <v>77</v>
      </c>
      <c r="D139" s="204">
        <v>361</v>
      </c>
      <c r="E139" s="36" t="str">
        <f t="shared" si="25"/>
        <v>490-1</v>
      </c>
      <c r="F139" s="18" t="str">
        <f t="shared" si="25"/>
        <v>구거</v>
      </c>
      <c r="G139" s="213">
        <v>329.2</v>
      </c>
      <c r="H139" s="38"/>
      <c r="I139" s="22">
        <v>3790</v>
      </c>
      <c r="J139" s="23"/>
      <c r="K139" s="167"/>
      <c r="L139" s="25">
        <f t="shared" ref="L139:L145" si="26">IF(G139-D139&gt;0,"",G139-D139)</f>
        <v>-31.800000000000011</v>
      </c>
      <c r="M139" s="245">
        <f>ROUNDDOWN(IF(L139&gt;0,"",I139*L139),-1)</f>
        <v>-120520</v>
      </c>
      <c r="N139" s="154"/>
      <c r="O139" s="98" t="s">
        <v>78</v>
      </c>
      <c r="P139" s="94"/>
      <c r="Q139" s="94"/>
      <c r="R139" s="224"/>
      <c r="T139" s="272" t="s">
        <v>486</v>
      </c>
      <c r="U139">
        <v>1</v>
      </c>
      <c r="V139" t="str">
        <f t="shared" si="14"/>
        <v>39027104900001</v>
      </c>
    </row>
    <row r="140" spans="1:22" ht="24" customHeight="1">
      <c r="A140" s="16">
        <v>130</v>
      </c>
      <c r="B140" s="233">
        <v>493</v>
      </c>
      <c r="C140" s="18" t="s">
        <v>3</v>
      </c>
      <c r="D140" s="29">
        <v>4529</v>
      </c>
      <c r="E140" s="28">
        <f t="shared" si="25"/>
        <v>493</v>
      </c>
      <c r="F140" s="18" t="str">
        <f t="shared" si="25"/>
        <v>전</v>
      </c>
      <c r="G140" s="30">
        <v>4598.7</v>
      </c>
      <c r="H140" s="31"/>
      <c r="I140" s="35">
        <v>9120</v>
      </c>
      <c r="J140" s="23">
        <f>G140-D140</f>
        <v>69.699999999999818</v>
      </c>
      <c r="K140" s="167">
        <f>ROUNDDOWN(I140*J140,-1)</f>
        <v>635660</v>
      </c>
      <c r="L140" s="25" t="str">
        <f t="shared" si="26"/>
        <v/>
      </c>
      <c r="M140" s="245"/>
      <c r="N140" s="154"/>
      <c r="O140" s="33" t="s">
        <v>5</v>
      </c>
      <c r="P140" s="27"/>
      <c r="Q140" s="27"/>
      <c r="R140" s="34"/>
      <c r="T140" s="270" t="s">
        <v>487</v>
      </c>
      <c r="V140" t="str">
        <f t="shared" ref="V140:V145" si="27">39027&amp;1&amp;TEXT(T140,"0000")&amp;TEXT(U140,"0000")</f>
        <v>39027104930000</v>
      </c>
    </row>
    <row r="141" spans="1:22" ht="24" customHeight="1">
      <c r="A141" s="16">
        <v>131</v>
      </c>
      <c r="B141" s="236" t="s">
        <v>111</v>
      </c>
      <c r="C141" s="89" t="s">
        <v>3</v>
      </c>
      <c r="D141" s="111">
        <v>2040</v>
      </c>
      <c r="E141" s="36" t="str">
        <f t="shared" si="25"/>
        <v>495-1</v>
      </c>
      <c r="F141" s="18" t="str">
        <f t="shared" si="25"/>
        <v>전</v>
      </c>
      <c r="G141" s="111">
        <v>2005</v>
      </c>
      <c r="H141" s="112"/>
      <c r="I141" s="22">
        <v>9720</v>
      </c>
      <c r="J141" s="23"/>
      <c r="K141" s="167"/>
      <c r="L141" s="25">
        <f t="shared" si="26"/>
        <v>-35</v>
      </c>
      <c r="M141" s="245">
        <f>IF(L141&gt;0,"",I141*L141)</f>
        <v>-340200</v>
      </c>
      <c r="N141" s="154" t="s">
        <v>6</v>
      </c>
      <c r="O141" s="113" t="s">
        <v>4</v>
      </c>
      <c r="P141" s="94"/>
      <c r="Q141" s="94"/>
      <c r="R141" s="94"/>
      <c r="T141" s="114" t="s">
        <v>488</v>
      </c>
      <c r="U141">
        <v>1</v>
      </c>
      <c r="V141" t="str">
        <f t="shared" si="27"/>
        <v>39027104950001</v>
      </c>
    </row>
    <row r="142" spans="1:22" ht="24" customHeight="1">
      <c r="A142" s="16">
        <v>132</v>
      </c>
      <c r="B142" s="239" t="s">
        <v>10</v>
      </c>
      <c r="C142" s="89" t="s">
        <v>3</v>
      </c>
      <c r="D142" s="201">
        <v>764</v>
      </c>
      <c r="E142" s="17" t="s">
        <v>10</v>
      </c>
      <c r="F142" s="18" t="s">
        <v>3</v>
      </c>
      <c r="G142" s="216">
        <v>784.5</v>
      </c>
      <c r="H142" s="21"/>
      <c r="I142" s="22">
        <v>8340</v>
      </c>
      <c r="J142" s="23">
        <f>G142-D142</f>
        <v>20.5</v>
      </c>
      <c r="K142" s="167">
        <f>ROUNDDOWN(I142*J142,-1)</f>
        <v>170970</v>
      </c>
      <c r="L142" s="25" t="str">
        <f t="shared" si="26"/>
        <v/>
      </c>
      <c r="M142" s="245"/>
      <c r="N142" s="154"/>
      <c r="O142" s="98" t="s">
        <v>8</v>
      </c>
      <c r="P142" s="94"/>
      <c r="Q142" s="94"/>
      <c r="R142" s="94"/>
      <c r="T142" s="264" t="s">
        <v>488</v>
      </c>
      <c r="U142">
        <v>3</v>
      </c>
      <c r="V142" t="str">
        <f t="shared" si="27"/>
        <v>39027104950003</v>
      </c>
    </row>
    <row r="143" spans="1:22" ht="24" customHeight="1">
      <c r="A143" s="16">
        <v>133</v>
      </c>
      <c r="B143" s="238" t="s">
        <v>76</v>
      </c>
      <c r="C143" s="89" t="s">
        <v>77</v>
      </c>
      <c r="D143" s="204">
        <v>112</v>
      </c>
      <c r="E143" s="36" t="str">
        <f t="shared" ref="E143:F145" si="28">B143</f>
        <v>497-4</v>
      </c>
      <c r="F143" s="18" t="str">
        <f t="shared" si="28"/>
        <v>구거</v>
      </c>
      <c r="G143" s="213">
        <v>81.8</v>
      </c>
      <c r="H143" s="38"/>
      <c r="I143" s="22">
        <v>3790</v>
      </c>
      <c r="J143" s="23"/>
      <c r="K143" s="167"/>
      <c r="L143" s="25">
        <f t="shared" si="26"/>
        <v>-30.200000000000003</v>
      </c>
      <c r="M143" s="245">
        <f>ROUNDDOWN(IF(L143&gt;0,"",I143*L143),-1)</f>
        <v>-114450</v>
      </c>
      <c r="N143" s="154"/>
      <c r="O143" s="98" t="s">
        <v>78</v>
      </c>
      <c r="P143" s="94"/>
      <c r="Q143" s="94"/>
      <c r="R143" s="224"/>
      <c r="T143" s="272" t="s">
        <v>489</v>
      </c>
      <c r="U143">
        <v>4</v>
      </c>
      <c r="V143" t="str">
        <f t="shared" si="27"/>
        <v>39027104970004</v>
      </c>
    </row>
    <row r="144" spans="1:22" ht="24" customHeight="1">
      <c r="A144" s="16">
        <v>134</v>
      </c>
      <c r="B144" s="236" t="s">
        <v>127</v>
      </c>
      <c r="C144" s="89" t="s">
        <v>7</v>
      </c>
      <c r="D144" s="111">
        <v>1036</v>
      </c>
      <c r="E144" s="36" t="str">
        <f t="shared" si="28"/>
        <v>724-4</v>
      </c>
      <c r="F144" s="18" t="str">
        <f t="shared" si="28"/>
        <v>답</v>
      </c>
      <c r="G144" s="111">
        <v>1149</v>
      </c>
      <c r="H144" s="112"/>
      <c r="I144" s="22">
        <v>8400</v>
      </c>
      <c r="J144" s="23">
        <f>G144-D144</f>
        <v>113</v>
      </c>
      <c r="K144" s="167">
        <f>ROUNDDOWN(I144*J144,-1)</f>
        <v>949200</v>
      </c>
      <c r="L144" s="25" t="str">
        <f t="shared" si="26"/>
        <v/>
      </c>
      <c r="M144" s="246" t="str">
        <f>IF(L144&gt;0,"",I144*L144)</f>
        <v/>
      </c>
      <c r="N144" s="154"/>
      <c r="O144" s="113" t="s">
        <v>128</v>
      </c>
      <c r="P144" s="94"/>
      <c r="Q144" s="94"/>
      <c r="R144" s="94"/>
      <c r="T144" s="114" t="s">
        <v>490</v>
      </c>
      <c r="U144">
        <v>4</v>
      </c>
      <c r="V144" t="str">
        <f t="shared" si="27"/>
        <v>39027107240004</v>
      </c>
    </row>
    <row r="145" spans="1:22" ht="24" customHeight="1" thickBot="1">
      <c r="A145" s="16">
        <v>135</v>
      </c>
      <c r="B145" s="236" t="s">
        <v>140</v>
      </c>
      <c r="C145" s="89" t="s">
        <v>7</v>
      </c>
      <c r="D145" s="111">
        <v>674</v>
      </c>
      <c r="E145" s="36" t="str">
        <f t="shared" si="28"/>
        <v>724-5</v>
      </c>
      <c r="F145" s="18" t="str">
        <f t="shared" si="28"/>
        <v>답</v>
      </c>
      <c r="G145" s="111">
        <v>984.7</v>
      </c>
      <c r="H145" s="112"/>
      <c r="I145" s="22">
        <v>7890</v>
      </c>
      <c r="J145" s="247">
        <f>G145-D145</f>
        <v>310.70000000000005</v>
      </c>
      <c r="K145" s="248">
        <f>ROUNDDOWN(I145*J145,-1)</f>
        <v>2451420</v>
      </c>
      <c r="L145" s="249" t="str">
        <f t="shared" si="26"/>
        <v/>
      </c>
      <c r="M145" s="250" t="str">
        <f>IF(L145&gt;0,"",I145*L145)</f>
        <v/>
      </c>
      <c r="N145" s="154"/>
      <c r="O145" s="113" t="s">
        <v>141</v>
      </c>
      <c r="P145" s="94"/>
      <c r="Q145" s="94"/>
      <c r="R145" s="94"/>
      <c r="T145" s="114" t="s">
        <v>490</v>
      </c>
      <c r="U145">
        <v>5</v>
      </c>
      <c r="V145" t="str">
        <f t="shared" si="27"/>
        <v>39027107240005</v>
      </c>
    </row>
    <row r="146" spans="1:22" ht="17.25" thickTop="1">
      <c r="M146" s="276">
        <f>SUM(M11:M143)</f>
        <v>-36449370</v>
      </c>
    </row>
    <row r="156" spans="1:22" hidden="1"/>
  </sheetData>
  <mergeCells count="28">
    <mergeCell ref="A2:R2"/>
    <mergeCell ref="A4:O4"/>
    <mergeCell ref="A5:R5"/>
    <mergeCell ref="J6:M6"/>
    <mergeCell ref="P6:Q6"/>
    <mergeCell ref="R6:R9"/>
    <mergeCell ref="P7:P9"/>
    <mergeCell ref="Q7:Q9"/>
    <mergeCell ref="A6:A9"/>
    <mergeCell ref="B7:B9"/>
    <mergeCell ref="C7:C9"/>
    <mergeCell ref="I6:I9"/>
    <mergeCell ref="F7:F9"/>
    <mergeCell ref="G7:G9"/>
    <mergeCell ref="D7:D9"/>
    <mergeCell ref="E7:E9"/>
    <mergeCell ref="H6:H9"/>
    <mergeCell ref="B6:D6"/>
    <mergeCell ref="N6:O6"/>
    <mergeCell ref="N7:N9"/>
    <mergeCell ref="O7:O9"/>
    <mergeCell ref="J7:K7"/>
    <mergeCell ref="L7:M7"/>
    <mergeCell ref="J8:J9"/>
    <mergeCell ref="K8:K9"/>
    <mergeCell ref="L8:L9"/>
    <mergeCell ref="M8:M9"/>
    <mergeCell ref="E6:G6"/>
  </mergeCells>
  <phoneticPr fontId="2" type="noConversion"/>
  <pageMargins left="0.23622047244094491" right="0.23622047244094491" top="0.74803149606299213" bottom="0.48" header="0.31496062992125984" footer="0.31496062992125984"/>
  <pageSetup paperSize="9" scale="85" orientation="landscape" r:id="rId1"/>
  <headerFooter alignWithMargins="0"/>
  <ignoredErrors>
    <ignoredError sqref="B14:B16" twoDigitTextYear="1"/>
    <ignoredError sqref="M41 M47 M100" formula="1"/>
  </ignoredErrors>
</worksheet>
</file>

<file path=xl/worksheets/sheet2.xml><?xml version="1.0" encoding="utf-8"?>
<worksheet xmlns="http://schemas.openxmlformats.org/spreadsheetml/2006/main" xmlns:r="http://schemas.openxmlformats.org/officeDocument/2006/relationships">
  <dimension ref="A1:U210"/>
  <sheetViews>
    <sheetView topLeftCell="C1" zoomScale="85" zoomScaleNormal="85" workbookViewId="0">
      <pane ySplit="10" topLeftCell="A158" activePane="bottomLeft" state="frozen"/>
      <selection pane="bottomLeft" activeCell="C171" sqref="A171:XFD171"/>
    </sheetView>
  </sheetViews>
  <sheetFormatPr defaultRowHeight="16.5"/>
  <cols>
    <col min="1" max="1" width="7.5" customWidth="1"/>
    <col min="2" max="2" width="10.125" customWidth="1"/>
    <col min="3" max="3" width="8.25" customWidth="1"/>
    <col min="4" max="4" width="10.125" style="1" customWidth="1"/>
    <col min="5" max="5" width="10.125" customWidth="1"/>
    <col min="6" max="6" width="8.25" customWidth="1"/>
    <col min="7" max="7" width="13.75" style="2" bestFit="1" customWidth="1"/>
    <col min="8" max="8" width="8.25" customWidth="1"/>
    <col min="9" max="9" width="10.125" style="3" customWidth="1"/>
    <col min="10" max="10" width="13.25" bestFit="1" customWidth="1"/>
    <col min="11" max="11" width="19.375" style="1" bestFit="1" customWidth="1"/>
    <col min="12" max="12" width="13.75" bestFit="1" customWidth="1"/>
    <col min="13" max="13" width="13.125" customWidth="1"/>
    <col min="14" max="14" width="10.625" customWidth="1"/>
    <col min="15" max="15" width="14.75" customWidth="1"/>
    <col min="16" max="16" width="13" customWidth="1"/>
    <col min="17" max="17" width="14" customWidth="1"/>
    <col min="18" max="19" width="7.875" customWidth="1"/>
    <col min="20" max="20" width="7.5" customWidth="1"/>
  </cols>
  <sheetData>
    <row r="1" spans="1:20">
      <c r="A1" s="5" t="s">
        <v>0</v>
      </c>
      <c r="B1" s="5"/>
      <c r="C1" s="5"/>
      <c r="D1" s="6"/>
      <c r="E1" s="5"/>
      <c r="F1" s="5"/>
      <c r="G1" s="7"/>
      <c r="H1" s="5"/>
      <c r="I1" s="8"/>
      <c r="J1" s="5"/>
      <c r="K1" s="6"/>
      <c r="L1" s="5"/>
      <c r="M1" s="5"/>
      <c r="N1" s="5"/>
      <c r="O1" s="5"/>
      <c r="P1" s="5"/>
      <c r="Q1" s="5"/>
      <c r="R1" s="5"/>
      <c r="S1" s="5"/>
      <c r="T1" s="5"/>
    </row>
    <row r="2" spans="1:20" ht="31.5" customHeight="1">
      <c r="A2" s="396" t="s">
        <v>161</v>
      </c>
      <c r="B2" s="396"/>
      <c r="C2" s="396"/>
      <c r="D2" s="396"/>
      <c r="E2" s="396"/>
      <c r="F2" s="396"/>
      <c r="G2" s="396"/>
      <c r="H2" s="396"/>
      <c r="I2" s="396"/>
      <c r="J2" s="396"/>
      <c r="K2" s="396"/>
      <c r="L2" s="396"/>
      <c r="M2" s="396"/>
      <c r="N2" s="396"/>
      <c r="O2" s="396"/>
      <c r="P2" s="396"/>
      <c r="Q2" s="396"/>
      <c r="R2" s="396"/>
      <c r="S2" s="396"/>
      <c r="T2" s="396"/>
    </row>
    <row r="3" spans="1:20" ht="17.25" customHeight="1">
      <c r="A3" s="9"/>
      <c r="B3" s="9"/>
      <c r="C3" s="9"/>
      <c r="D3" s="9"/>
      <c r="E3" s="9"/>
      <c r="F3" s="9"/>
      <c r="G3" s="9"/>
      <c r="H3" s="9"/>
      <c r="I3" s="9"/>
      <c r="J3" s="9"/>
      <c r="K3" s="9"/>
      <c r="L3" s="9"/>
      <c r="M3" s="9"/>
      <c r="N3" s="9"/>
      <c r="O3" s="9"/>
      <c r="P3" s="9"/>
      <c r="Q3" s="9"/>
      <c r="R3" s="9"/>
      <c r="S3" s="9"/>
      <c r="T3" s="9"/>
    </row>
    <row r="4" spans="1:20" ht="18" customHeight="1">
      <c r="A4" s="397" t="s">
        <v>155</v>
      </c>
      <c r="B4" s="397"/>
      <c r="C4" s="397"/>
      <c r="D4" s="397"/>
      <c r="E4" s="397"/>
      <c r="F4" s="397"/>
      <c r="G4" s="397"/>
      <c r="H4" s="397"/>
      <c r="I4" s="397"/>
      <c r="J4" s="397"/>
      <c r="K4" s="397"/>
      <c r="L4" s="397"/>
      <c r="M4" s="397"/>
      <c r="N4" s="397"/>
      <c r="O4" s="397"/>
      <c r="P4" s="397"/>
      <c r="Q4" s="397"/>
      <c r="R4" s="10"/>
      <c r="S4" s="10"/>
      <c r="T4" s="10"/>
    </row>
    <row r="5" spans="1:20" ht="18" customHeight="1" thickBot="1">
      <c r="A5" s="398" t="s">
        <v>156</v>
      </c>
      <c r="B5" s="398"/>
      <c r="C5" s="398"/>
      <c r="D5" s="398"/>
      <c r="E5" s="398"/>
      <c r="F5" s="398"/>
      <c r="G5" s="398"/>
      <c r="H5" s="398"/>
      <c r="I5" s="398"/>
      <c r="J5" s="398"/>
      <c r="K5" s="398"/>
      <c r="L5" s="398"/>
      <c r="M5" s="398"/>
      <c r="N5" s="398"/>
      <c r="O5" s="398"/>
      <c r="P5" s="398"/>
      <c r="Q5" s="398"/>
      <c r="R5" s="398"/>
      <c r="S5" s="398"/>
      <c r="T5" s="398"/>
    </row>
    <row r="6" spans="1:20" ht="29.25" customHeight="1" thickTop="1">
      <c r="A6" s="389" t="s">
        <v>254</v>
      </c>
      <c r="B6" s="389" t="s">
        <v>157</v>
      </c>
      <c r="C6" s="389"/>
      <c r="D6" s="389"/>
      <c r="E6" s="389" t="s">
        <v>158</v>
      </c>
      <c r="F6" s="389"/>
      <c r="G6" s="389"/>
      <c r="H6" s="389" t="s">
        <v>258</v>
      </c>
      <c r="I6" s="402" t="s">
        <v>259</v>
      </c>
      <c r="J6" s="399" t="s">
        <v>268</v>
      </c>
      <c r="K6" s="400"/>
      <c r="L6" s="400"/>
      <c r="M6" s="400"/>
      <c r="N6" s="400"/>
      <c r="O6" s="401"/>
      <c r="P6" s="391" t="s">
        <v>261</v>
      </c>
      <c r="Q6" s="389"/>
      <c r="R6" s="389" t="s">
        <v>262</v>
      </c>
      <c r="S6" s="389"/>
      <c r="T6" s="389" t="s">
        <v>265</v>
      </c>
    </row>
    <row r="7" spans="1:20" ht="24.75" customHeight="1">
      <c r="A7" s="389"/>
      <c r="B7" s="389" t="s">
        <v>255</v>
      </c>
      <c r="C7" s="389" t="s">
        <v>256</v>
      </c>
      <c r="D7" s="408" t="s">
        <v>257</v>
      </c>
      <c r="E7" s="389" t="s">
        <v>255</v>
      </c>
      <c r="F7" s="389" t="s">
        <v>256</v>
      </c>
      <c r="G7" s="405" t="s">
        <v>257</v>
      </c>
      <c r="H7" s="389"/>
      <c r="I7" s="403"/>
      <c r="J7" s="393" t="s">
        <v>159</v>
      </c>
      <c r="K7" s="389"/>
      <c r="L7" s="389" t="s">
        <v>160</v>
      </c>
      <c r="M7" s="389"/>
      <c r="N7" s="403" t="s">
        <v>269</v>
      </c>
      <c r="O7" s="410"/>
      <c r="P7" s="391" t="s">
        <v>267</v>
      </c>
      <c r="Q7" s="389" t="s">
        <v>266</v>
      </c>
      <c r="R7" s="389" t="s">
        <v>263</v>
      </c>
      <c r="S7" s="389" t="s">
        <v>264</v>
      </c>
      <c r="T7" s="389"/>
    </row>
    <row r="8" spans="1:20" ht="15.75" customHeight="1">
      <c r="A8" s="389"/>
      <c r="B8" s="389"/>
      <c r="C8" s="389"/>
      <c r="D8" s="395"/>
      <c r="E8" s="389"/>
      <c r="F8" s="389"/>
      <c r="G8" s="406"/>
      <c r="H8" s="389"/>
      <c r="I8" s="403"/>
      <c r="J8" s="393" t="s">
        <v>260</v>
      </c>
      <c r="K8" s="395" t="s">
        <v>272</v>
      </c>
      <c r="L8" s="389" t="s">
        <v>260</v>
      </c>
      <c r="M8" s="389" t="s">
        <v>272</v>
      </c>
      <c r="N8" s="389" t="s">
        <v>260</v>
      </c>
      <c r="O8" s="394" t="s">
        <v>272</v>
      </c>
      <c r="P8" s="391"/>
      <c r="Q8" s="389"/>
      <c r="R8" s="389"/>
      <c r="S8" s="389"/>
      <c r="T8" s="389"/>
    </row>
    <row r="9" spans="1:20" ht="15.75" customHeight="1">
      <c r="A9" s="390"/>
      <c r="B9" s="390"/>
      <c r="C9" s="390"/>
      <c r="D9" s="409"/>
      <c r="E9" s="390"/>
      <c r="F9" s="390"/>
      <c r="G9" s="407"/>
      <c r="H9" s="390"/>
      <c r="I9" s="404"/>
      <c r="J9" s="393"/>
      <c r="K9" s="395"/>
      <c r="L9" s="389"/>
      <c r="M9" s="389"/>
      <c r="N9" s="389"/>
      <c r="O9" s="394"/>
      <c r="P9" s="392"/>
      <c r="Q9" s="390"/>
      <c r="R9" s="390"/>
      <c r="S9" s="390"/>
      <c r="T9" s="390"/>
    </row>
    <row r="10" spans="1:20" ht="41.25" customHeight="1" thickBot="1">
      <c r="A10" s="173" t="s">
        <v>270</v>
      </c>
      <c r="B10" s="174" t="s">
        <v>253</v>
      </c>
      <c r="C10" s="174"/>
      <c r="D10" s="175">
        <f>D16+D20+D33+D36+D41+D44+D47+D50+D54+D59+D64+D67+D71+D74+D77+D80+D83+D86+D89+D92+D96+D101+D104+D107+D120+D123+D135+D138+D206</f>
        <v>174631</v>
      </c>
      <c r="E10" s="175"/>
      <c r="F10" s="175"/>
      <c r="G10" s="175">
        <f>G16+G20+G33+G36+G41+G44+G47+G50+G54+G59+G64+G67+G71+G74+G77+G80+G83+G86+G89+G92+G96+G101+G104+G107+G120+G123+G135+G138+G206</f>
        <v>175832.8</v>
      </c>
      <c r="H10" s="12"/>
      <c r="I10" s="13"/>
      <c r="J10" s="14">
        <f>J16+J20+J33+J36+J41+J44+J47+J50+J54+J59+J64+J67+J71+J74+J77+J80+J83+J86+J89+J92+J96+J101+J104+J107+J120+J123+J135+J138+J206</f>
        <v>5775.7000000000007</v>
      </c>
      <c r="K10" s="195">
        <f>K16+K20+K33+K36+K41+K44+K47+K50+K54+K59+K64+K67+K71+K74+K77+K80+K83+K86+K89+K92+K96+K101+K104+K107+K120+K123+K135+K138+K206</f>
        <v>48291440</v>
      </c>
      <c r="L10" s="196">
        <f>L16+L20+L33+L36+L41+L44+L47+L50+L54+L59+L64+L67+L71+L74+L77+L80+L83+L86+L89+L92+L96+L101+L104+L107+L120+L123+L135+L138+L206</f>
        <v>-4599.2</v>
      </c>
      <c r="M10" s="176">
        <f>M16+M20+M33+M36+M41+M44+M47+M50+M54+M59+M64+M67+M71+M74+M77+M80+M83+M86+M89+M92+M96+M101+M104+M107+M120+M123+M135+M138+M206</f>
        <v>-36449370</v>
      </c>
      <c r="N10" s="177"/>
      <c r="O10" s="178">
        <f>O16+O20+O33+O36+O41+O44+O47+O50+O54+O59+O64+O67+O71+O74+O77+O80+O83+O86+O89+O92+O96+O101+O104+O107+O120+O123+O135+O138+O206</f>
        <v>11842070</v>
      </c>
      <c r="P10" s="153"/>
      <c r="Q10" s="12"/>
      <c r="R10" s="12"/>
      <c r="S10" s="11"/>
      <c r="T10" s="11"/>
    </row>
    <row r="11" spans="1:20" ht="24" customHeight="1" thickTop="1">
      <c r="A11" s="160">
        <v>1</v>
      </c>
      <c r="B11" s="161">
        <v>301</v>
      </c>
      <c r="C11" s="162" t="s">
        <v>162</v>
      </c>
      <c r="D11" s="163">
        <v>678</v>
      </c>
      <c r="E11" s="161">
        <v>301</v>
      </c>
      <c r="F11" s="162" t="s">
        <v>162</v>
      </c>
      <c r="G11" s="164">
        <v>725.4</v>
      </c>
      <c r="H11" s="165"/>
      <c r="I11" s="15">
        <v>8760</v>
      </c>
      <c r="J11" s="166">
        <f>G11-D11</f>
        <v>47.399999999999977</v>
      </c>
      <c r="K11" s="167">
        <f>ROUNDDOWN((I11*J11),-1)</f>
        <v>415220</v>
      </c>
      <c r="L11" s="168" t="str">
        <f>IF(G11-D11&gt;0,"",G11-D11)</f>
        <v/>
      </c>
      <c r="M11" s="169" t="s">
        <v>273</v>
      </c>
      <c r="N11" s="179"/>
      <c r="O11" s="182">
        <f>K11</f>
        <v>415220</v>
      </c>
      <c r="P11" s="170"/>
      <c r="Q11" s="171" t="s">
        <v>274</v>
      </c>
      <c r="R11" s="172"/>
      <c r="S11" s="172"/>
      <c r="T11" s="172"/>
    </row>
    <row r="12" spans="1:20" ht="24" customHeight="1">
      <c r="A12" s="16">
        <v>2</v>
      </c>
      <c r="B12" s="17" t="s">
        <v>163</v>
      </c>
      <c r="C12" s="18" t="s">
        <v>162</v>
      </c>
      <c r="D12" s="19">
        <v>9</v>
      </c>
      <c r="E12" s="17" t="s">
        <v>163</v>
      </c>
      <c r="F12" s="18" t="s">
        <v>162</v>
      </c>
      <c r="G12" s="20">
        <v>13.7</v>
      </c>
      <c r="H12" s="21"/>
      <c r="I12" s="22">
        <v>2700</v>
      </c>
      <c r="J12" s="23">
        <f>G12-D12</f>
        <v>4.6999999999999993</v>
      </c>
      <c r="K12" s="167">
        <f>ROUNDDOWN((I12*J12),-1)</f>
        <v>12690</v>
      </c>
      <c r="L12" s="25" t="str">
        <f t="shared" ref="L12:L76" si="0">IF(G12-D12&gt;0,"",G12-D12)</f>
        <v/>
      </c>
      <c r="M12" s="157" t="s">
        <v>273</v>
      </c>
      <c r="N12" s="180"/>
      <c r="O12" s="182">
        <f>K12</f>
        <v>12690</v>
      </c>
      <c r="P12" s="154"/>
      <c r="Q12" s="171" t="s">
        <v>274</v>
      </c>
      <c r="R12" s="27"/>
      <c r="S12" s="27"/>
      <c r="T12" s="27"/>
    </row>
    <row r="13" spans="1:20" ht="24" customHeight="1">
      <c r="A13" s="16">
        <v>3</v>
      </c>
      <c r="B13" s="17">
        <v>474</v>
      </c>
      <c r="C13" s="18" t="s">
        <v>164</v>
      </c>
      <c r="D13" s="19">
        <v>2559</v>
      </c>
      <c r="E13" s="17">
        <v>474</v>
      </c>
      <c r="F13" s="18" t="s">
        <v>164</v>
      </c>
      <c r="G13" s="20">
        <v>2576.6999999999998</v>
      </c>
      <c r="H13" s="21"/>
      <c r="I13" s="22">
        <v>9120</v>
      </c>
      <c r="J13" s="23">
        <f>G13-D13</f>
        <v>17.699999999999818</v>
      </c>
      <c r="K13" s="167">
        <f>ROUNDDOWN((I13*J13),-1)</f>
        <v>161420</v>
      </c>
      <c r="L13" s="25" t="str">
        <f t="shared" si="0"/>
        <v/>
      </c>
      <c r="M13" s="157" t="s">
        <v>273</v>
      </c>
      <c r="N13" s="180"/>
      <c r="O13" s="182">
        <f>K13</f>
        <v>161420</v>
      </c>
      <c r="P13" s="251"/>
      <c r="Q13" s="171" t="s">
        <v>274</v>
      </c>
      <c r="R13" s="27"/>
      <c r="S13" s="27"/>
      <c r="T13" s="27"/>
    </row>
    <row r="14" spans="1:20" ht="24" customHeight="1">
      <c r="A14" s="16">
        <v>4</v>
      </c>
      <c r="B14" s="17">
        <v>475</v>
      </c>
      <c r="C14" s="18" t="s">
        <v>164</v>
      </c>
      <c r="D14" s="19">
        <v>2574</v>
      </c>
      <c r="E14" s="17">
        <v>475</v>
      </c>
      <c r="F14" s="18" t="s">
        <v>164</v>
      </c>
      <c r="G14" s="20">
        <v>2627.6</v>
      </c>
      <c r="H14" s="21"/>
      <c r="I14" s="22">
        <v>9120</v>
      </c>
      <c r="J14" s="23">
        <f>G14-D14</f>
        <v>53.599999999999909</v>
      </c>
      <c r="K14" s="167">
        <f>ROUNDDOWN((I14*J14),-1)</f>
        <v>488830</v>
      </c>
      <c r="L14" s="25" t="str">
        <f t="shared" si="0"/>
        <v/>
      </c>
      <c r="M14" s="157" t="s">
        <v>273</v>
      </c>
      <c r="N14" s="180"/>
      <c r="O14" s="182">
        <f>K14</f>
        <v>488830</v>
      </c>
      <c r="P14" s="154"/>
      <c r="Q14" s="171" t="s">
        <v>274</v>
      </c>
      <c r="R14" s="27"/>
      <c r="S14" s="27"/>
      <c r="T14" s="27"/>
    </row>
    <row r="15" spans="1:20" ht="24" customHeight="1">
      <c r="A15" s="16">
        <v>5</v>
      </c>
      <c r="B15" s="17" t="s">
        <v>165</v>
      </c>
      <c r="C15" s="18" t="s">
        <v>164</v>
      </c>
      <c r="D15" s="19">
        <v>764</v>
      </c>
      <c r="E15" s="17" t="s">
        <v>165</v>
      </c>
      <c r="F15" s="18" t="s">
        <v>164</v>
      </c>
      <c r="G15" s="20">
        <v>784.5</v>
      </c>
      <c r="H15" s="21"/>
      <c r="I15" s="22">
        <v>8340</v>
      </c>
      <c r="J15" s="23">
        <f>G15-D15</f>
        <v>20.5</v>
      </c>
      <c r="K15" s="167">
        <f>ROUNDDOWN((I15*J15),-1)</f>
        <v>170970</v>
      </c>
      <c r="L15" s="25" t="str">
        <f t="shared" si="0"/>
        <v/>
      </c>
      <c r="M15" s="157" t="s">
        <v>273</v>
      </c>
      <c r="N15" s="180"/>
      <c r="O15" s="182">
        <f>K15</f>
        <v>170970</v>
      </c>
      <c r="P15" s="154"/>
      <c r="Q15" s="171" t="s">
        <v>274</v>
      </c>
      <c r="R15" s="27"/>
      <c r="S15" s="27"/>
      <c r="T15" s="27"/>
    </row>
    <row r="16" spans="1:20" ht="24" customHeight="1">
      <c r="A16" s="116" t="s">
        <v>271</v>
      </c>
      <c r="B16" s="116"/>
      <c r="C16" s="117"/>
      <c r="D16" s="118">
        <f>SUM(D11:D15)</f>
        <v>6584</v>
      </c>
      <c r="E16" s="119"/>
      <c r="F16" s="119"/>
      <c r="G16" s="120">
        <f>SUM(G11:G15)</f>
        <v>6727.9</v>
      </c>
      <c r="H16" s="119"/>
      <c r="I16" s="121"/>
      <c r="J16" s="144">
        <f>SUM(J11:J15)</f>
        <v>143.89999999999969</v>
      </c>
      <c r="K16" s="145">
        <f>SUM(K11:K15)</f>
        <v>1249130</v>
      </c>
      <c r="L16" s="146"/>
      <c r="M16" s="158"/>
      <c r="N16" s="158"/>
      <c r="O16" s="184">
        <f>SUM(O11:O15)</f>
        <v>1249130</v>
      </c>
      <c r="P16" s="155" t="s">
        <v>6</v>
      </c>
      <c r="Q16" s="137"/>
      <c r="R16" s="138"/>
      <c r="S16" s="138"/>
      <c r="T16" s="138"/>
    </row>
    <row r="17" spans="1:20" ht="24" customHeight="1">
      <c r="A17" s="16">
        <v>6</v>
      </c>
      <c r="B17" s="28" t="s">
        <v>166</v>
      </c>
      <c r="C17" s="18" t="s">
        <v>162</v>
      </c>
      <c r="D17" s="29">
        <v>867</v>
      </c>
      <c r="E17" s="28" t="str">
        <f t="shared" ref="E17:F19" si="1">B17</f>
        <v>189-1</v>
      </c>
      <c r="F17" s="18" t="str">
        <f t="shared" si="1"/>
        <v>답</v>
      </c>
      <c r="G17" s="30">
        <v>812</v>
      </c>
      <c r="H17" s="31"/>
      <c r="I17" s="32">
        <v>8490</v>
      </c>
      <c r="J17" s="23"/>
      <c r="K17" s="24"/>
      <c r="L17" s="25">
        <f t="shared" si="0"/>
        <v>-55</v>
      </c>
      <c r="M17" s="157">
        <v>-466950</v>
      </c>
      <c r="N17" s="180"/>
      <c r="O17" s="182">
        <f>M17</f>
        <v>-466950</v>
      </c>
      <c r="P17" s="154"/>
      <c r="Q17" s="33" t="s">
        <v>275</v>
      </c>
      <c r="R17" s="27"/>
      <c r="S17" s="27"/>
      <c r="T17" s="34"/>
    </row>
    <row r="18" spans="1:20" ht="24" customHeight="1">
      <c r="A18" s="16">
        <v>7</v>
      </c>
      <c r="B18" s="28">
        <v>315</v>
      </c>
      <c r="C18" s="18" t="s">
        <v>162</v>
      </c>
      <c r="D18" s="29">
        <v>2255</v>
      </c>
      <c r="E18" s="28">
        <f t="shared" si="1"/>
        <v>315</v>
      </c>
      <c r="F18" s="18" t="str">
        <f t="shared" si="1"/>
        <v>답</v>
      </c>
      <c r="G18" s="30">
        <v>2279.6</v>
      </c>
      <c r="H18" s="31"/>
      <c r="I18" s="32">
        <v>7890</v>
      </c>
      <c r="J18" s="23">
        <f>G18-D18</f>
        <v>24.599999999999909</v>
      </c>
      <c r="K18" s="24">
        <f>ROUNDDOWN((I18*J18),-1)</f>
        <v>194090</v>
      </c>
      <c r="L18" s="25" t="str">
        <f t="shared" si="0"/>
        <v/>
      </c>
      <c r="M18" s="157" t="s">
        <v>273</v>
      </c>
      <c r="N18" s="180"/>
      <c r="O18" s="182">
        <f>ROUNDDOWN(K18,-1)</f>
        <v>194090</v>
      </c>
      <c r="P18" s="154"/>
      <c r="Q18" s="33" t="s">
        <v>275</v>
      </c>
      <c r="R18" s="27"/>
      <c r="S18" s="27"/>
      <c r="T18" s="34"/>
    </row>
    <row r="19" spans="1:20" ht="24" customHeight="1">
      <c r="A19" s="16">
        <v>8</v>
      </c>
      <c r="B19" s="28">
        <v>493</v>
      </c>
      <c r="C19" s="18" t="s">
        <v>167</v>
      </c>
      <c r="D19" s="29">
        <v>4529</v>
      </c>
      <c r="E19" s="28">
        <f t="shared" si="1"/>
        <v>493</v>
      </c>
      <c r="F19" s="18" t="str">
        <f t="shared" si="1"/>
        <v>전</v>
      </c>
      <c r="G19" s="30">
        <v>4598.7</v>
      </c>
      <c r="H19" s="31"/>
      <c r="I19" s="32">
        <v>9120</v>
      </c>
      <c r="J19" s="23">
        <f>G19-D19</f>
        <v>69.699999999999818</v>
      </c>
      <c r="K19" s="24">
        <f>ROUNDDOWN((I19*J19),-1)</f>
        <v>635660</v>
      </c>
      <c r="L19" s="25" t="str">
        <f t="shared" si="0"/>
        <v/>
      </c>
      <c r="M19" s="157" t="s">
        <v>273</v>
      </c>
      <c r="N19" s="180"/>
      <c r="O19" s="182">
        <f>ROUNDDOWN(K19,-1)</f>
        <v>635660</v>
      </c>
      <c r="P19" s="154"/>
      <c r="Q19" s="33" t="s">
        <v>275</v>
      </c>
      <c r="R19" s="27"/>
      <c r="S19" s="27"/>
      <c r="T19" s="34"/>
    </row>
    <row r="20" spans="1:20" ht="24" customHeight="1">
      <c r="A20" s="122" t="s">
        <v>271</v>
      </c>
      <c r="B20" s="122"/>
      <c r="C20" s="117"/>
      <c r="D20" s="123">
        <f>SUM(D17:D19)</f>
        <v>7651</v>
      </c>
      <c r="E20" s="122"/>
      <c r="F20" s="117"/>
      <c r="G20" s="124">
        <f>SUM(G17:G19)</f>
        <v>7690.2999999999993</v>
      </c>
      <c r="H20" s="125"/>
      <c r="I20" s="126"/>
      <c r="J20" s="147">
        <f>SUM(J17:J19)</f>
        <v>94.299999999999727</v>
      </c>
      <c r="K20" s="145">
        <f>SUM(K17:K19)</f>
        <v>829750</v>
      </c>
      <c r="L20" s="146">
        <f>SUM(L17:L19)</f>
        <v>-55</v>
      </c>
      <c r="M20" s="158">
        <f>SUM(M17:M19)</f>
        <v>-466950</v>
      </c>
      <c r="N20" s="158"/>
      <c r="O20" s="184">
        <f>SUM(O17:O19)</f>
        <v>362800</v>
      </c>
      <c r="P20" s="155" t="s">
        <v>6</v>
      </c>
      <c r="Q20" s="139"/>
      <c r="R20" s="138"/>
      <c r="S20" s="138"/>
      <c r="T20" s="140"/>
    </row>
    <row r="21" spans="1:20" ht="24" customHeight="1">
      <c r="A21" s="16">
        <v>9</v>
      </c>
      <c r="B21" s="36">
        <v>82</v>
      </c>
      <c r="C21" s="18" t="s">
        <v>168</v>
      </c>
      <c r="D21" s="37">
        <v>182</v>
      </c>
      <c r="E21" s="36">
        <v>82</v>
      </c>
      <c r="F21" s="18" t="s">
        <v>168</v>
      </c>
      <c r="G21" s="30">
        <v>275.2</v>
      </c>
      <c r="H21" s="38"/>
      <c r="I21" s="22">
        <v>8800</v>
      </c>
      <c r="J21" s="23">
        <f>G21-D21</f>
        <v>93.199999999999989</v>
      </c>
      <c r="K21" s="24">
        <f>ROUNDDOWN((I21*J21),-1)</f>
        <v>820160</v>
      </c>
      <c r="L21" s="25" t="str">
        <f t="shared" si="0"/>
        <v/>
      </c>
      <c r="M21" s="157" t="s">
        <v>273</v>
      </c>
      <c r="N21" s="180"/>
      <c r="O21" s="182">
        <f>ROUNDDOWN(K21,-1)</f>
        <v>820160</v>
      </c>
      <c r="P21" s="154"/>
      <c r="Q21" s="39" t="s">
        <v>276</v>
      </c>
      <c r="R21" s="27"/>
      <c r="S21" s="27"/>
      <c r="T21" s="27"/>
    </row>
    <row r="22" spans="1:20" ht="24" customHeight="1">
      <c r="A22" s="16"/>
      <c r="B22" s="36"/>
      <c r="C22" s="18"/>
      <c r="D22" s="37"/>
      <c r="E22" s="36"/>
      <c r="F22" s="18"/>
      <c r="G22" s="30"/>
      <c r="H22" s="38"/>
      <c r="I22" s="22"/>
      <c r="J22" s="23"/>
      <c r="K22" s="24"/>
      <c r="L22" s="25"/>
      <c r="M22" s="157"/>
      <c r="N22" s="180"/>
      <c r="O22" s="182"/>
      <c r="P22" s="154"/>
      <c r="Q22" s="39" t="s">
        <v>277</v>
      </c>
      <c r="R22" s="27"/>
      <c r="S22" s="27"/>
      <c r="T22" s="27"/>
    </row>
    <row r="23" spans="1:20" ht="24" customHeight="1">
      <c r="A23" s="16"/>
      <c r="B23" s="36"/>
      <c r="C23" s="18"/>
      <c r="D23" s="37"/>
      <c r="E23" s="36"/>
      <c r="F23" s="18"/>
      <c r="G23" s="30"/>
      <c r="H23" s="38"/>
      <c r="I23" s="22"/>
      <c r="J23" s="23"/>
      <c r="K23" s="24"/>
      <c r="L23" s="25"/>
      <c r="M23" s="157"/>
      <c r="N23" s="180"/>
      <c r="O23" s="182"/>
      <c r="P23" s="154"/>
      <c r="Q23" s="39" t="s">
        <v>278</v>
      </c>
      <c r="R23" s="27"/>
      <c r="S23" s="27"/>
      <c r="T23" s="27"/>
    </row>
    <row r="24" spans="1:20" ht="24" customHeight="1">
      <c r="A24" s="16"/>
      <c r="B24" s="36"/>
      <c r="C24" s="18"/>
      <c r="D24" s="37"/>
      <c r="E24" s="36"/>
      <c r="F24" s="18"/>
      <c r="G24" s="30"/>
      <c r="H24" s="38"/>
      <c r="I24" s="22"/>
      <c r="J24" s="23"/>
      <c r="K24" s="24"/>
      <c r="L24" s="25"/>
      <c r="M24" s="157"/>
      <c r="N24" s="180"/>
      <c r="O24" s="182"/>
      <c r="P24" s="154"/>
      <c r="Q24" s="39" t="s">
        <v>279</v>
      </c>
      <c r="R24" s="27"/>
      <c r="S24" s="27"/>
      <c r="T24" s="27"/>
    </row>
    <row r="25" spans="1:20" ht="24" customHeight="1">
      <c r="A25" s="16"/>
      <c r="B25" s="36"/>
      <c r="C25" s="18"/>
      <c r="D25" s="37"/>
      <c r="E25" s="36"/>
      <c r="F25" s="18"/>
      <c r="G25" s="30"/>
      <c r="H25" s="38"/>
      <c r="I25" s="22"/>
      <c r="J25" s="23"/>
      <c r="K25" s="24"/>
      <c r="L25" s="25"/>
      <c r="M25" s="157"/>
      <c r="N25" s="180"/>
      <c r="O25" s="182"/>
      <c r="P25" s="154"/>
      <c r="Q25" s="39" t="s">
        <v>280</v>
      </c>
      <c r="R25" s="27"/>
      <c r="S25" s="27"/>
      <c r="T25" s="27"/>
    </row>
    <row r="26" spans="1:20" ht="24" customHeight="1">
      <c r="A26" s="16"/>
      <c r="B26" s="36"/>
      <c r="C26" s="18"/>
      <c r="D26" s="37"/>
      <c r="E26" s="36"/>
      <c r="F26" s="18"/>
      <c r="G26" s="30"/>
      <c r="H26" s="38"/>
      <c r="I26" s="22"/>
      <c r="J26" s="23"/>
      <c r="K26" s="24"/>
      <c r="L26" s="25"/>
      <c r="M26" s="157"/>
      <c r="N26" s="180"/>
      <c r="O26" s="182"/>
      <c r="P26" s="154"/>
      <c r="Q26" s="39" t="s">
        <v>281</v>
      </c>
      <c r="R26" s="27"/>
      <c r="S26" s="27"/>
      <c r="T26" s="27"/>
    </row>
    <row r="27" spans="1:20" ht="24" customHeight="1">
      <c r="A27" s="16">
        <v>10</v>
      </c>
      <c r="B27" s="36">
        <v>86</v>
      </c>
      <c r="C27" s="18" t="s">
        <v>168</v>
      </c>
      <c r="D27" s="37">
        <v>1636</v>
      </c>
      <c r="E27" s="36">
        <v>86</v>
      </c>
      <c r="F27" s="18" t="s">
        <v>168</v>
      </c>
      <c r="G27" s="30">
        <v>1542.8</v>
      </c>
      <c r="H27" s="38"/>
      <c r="I27" s="22">
        <v>7920</v>
      </c>
      <c r="J27" s="23"/>
      <c r="K27" s="24"/>
      <c r="L27" s="25">
        <f t="shared" si="0"/>
        <v>-93.200000000000045</v>
      </c>
      <c r="M27" s="157">
        <f>ROUNDDOWN((-738144),-1)</f>
        <v>-738140</v>
      </c>
      <c r="N27" s="180"/>
      <c r="O27" s="182">
        <f>ROUNDDOWN(M27,-1)</f>
        <v>-738140</v>
      </c>
      <c r="P27" s="154"/>
      <c r="Q27" s="39" t="s">
        <v>276</v>
      </c>
      <c r="R27" s="27"/>
      <c r="S27" s="27"/>
      <c r="T27" s="27"/>
    </row>
    <row r="28" spans="1:20" ht="24" customHeight="1">
      <c r="A28" s="16"/>
      <c r="B28" s="36"/>
      <c r="C28" s="18"/>
      <c r="D28" s="37"/>
      <c r="E28" s="36"/>
      <c r="F28" s="18"/>
      <c r="G28" s="30"/>
      <c r="H28" s="38"/>
      <c r="I28" s="22"/>
      <c r="J28" s="23"/>
      <c r="K28" s="24"/>
      <c r="L28" s="25"/>
      <c r="M28" s="157"/>
      <c r="N28" s="180"/>
      <c r="O28" s="182"/>
      <c r="P28" s="154"/>
      <c r="Q28" s="39" t="s">
        <v>277</v>
      </c>
      <c r="R28" s="27"/>
      <c r="S28" s="27"/>
      <c r="T28" s="27"/>
    </row>
    <row r="29" spans="1:20" ht="24" customHeight="1">
      <c r="A29" s="16"/>
      <c r="B29" s="36"/>
      <c r="C29" s="18"/>
      <c r="D29" s="37"/>
      <c r="E29" s="36"/>
      <c r="F29" s="18"/>
      <c r="G29" s="30"/>
      <c r="H29" s="38"/>
      <c r="I29" s="22"/>
      <c r="J29" s="23"/>
      <c r="K29" s="24"/>
      <c r="L29" s="25"/>
      <c r="M29" s="157"/>
      <c r="N29" s="180"/>
      <c r="O29" s="182"/>
      <c r="P29" s="154"/>
      <c r="Q29" s="39" t="s">
        <v>278</v>
      </c>
      <c r="R29" s="27"/>
      <c r="S29" s="27"/>
      <c r="T29" s="27"/>
    </row>
    <row r="30" spans="1:20" ht="24" customHeight="1">
      <c r="A30" s="16"/>
      <c r="B30" s="36"/>
      <c r="C30" s="18"/>
      <c r="D30" s="37"/>
      <c r="E30" s="36"/>
      <c r="F30" s="18"/>
      <c r="G30" s="30"/>
      <c r="H30" s="38"/>
      <c r="I30" s="22"/>
      <c r="J30" s="23"/>
      <c r="K30" s="24"/>
      <c r="L30" s="25"/>
      <c r="M30" s="157"/>
      <c r="N30" s="180"/>
      <c r="O30" s="182"/>
      <c r="P30" s="154"/>
      <c r="Q30" s="39" t="s">
        <v>279</v>
      </c>
      <c r="R30" s="27"/>
      <c r="S30" s="27"/>
      <c r="T30" s="27"/>
    </row>
    <row r="31" spans="1:20" ht="24" customHeight="1">
      <c r="A31" s="16"/>
      <c r="B31" s="36"/>
      <c r="C31" s="18"/>
      <c r="D31" s="37"/>
      <c r="E31" s="36"/>
      <c r="F31" s="18"/>
      <c r="G31" s="30"/>
      <c r="H31" s="38"/>
      <c r="I31" s="22"/>
      <c r="J31" s="23"/>
      <c r="K31" s="24"/>
      <c r="L31" s="25"/>
      <c r="M31" s="157"/>
      <c r="N31" s="180"/>
      <c r="O31" s="182"/>
      <c r="P31" s="154"/>
      <c r="Q31" s="39" t="s">
        <v>280</v>
      </c>
      <c r="R31" s="27"/>
      <c r="S31" s="27"/>
      <c r="T31" s="27"/>
    </row>
    <row r="32" spans="1:20" ht="24" customHeight="1">
      <c r="A32" s="16"/>
      <c r="B32" s="36"/>
      <c r="C32" s="18"/>
      <c r="D32" s="37"/>
      <c r="E32" s="36"/>
      <c r="F32" s="18"/>
      <c r="G32" s="30"/>
      <c r="H32" s="38"/>
      <c r="I32" s="22"/>
      <c r="J32" s="23"/>
      <c r="K32" s="24"/>
      <c r="L32" s="25"/>
      <c r="M32" s="157"/>
      <c r="N32" s="180"/>
      <c r="O32" s="182"/>
      <c r="P32" s="154"/>
      <c r="Q32" s="39" t="s">
        <v>281</v>
      </c>
      <c r="R32" s="27"/>
      <c r="S32" s="27"/>
      <c r="T32" s="27"/>
    </row>
    <row r="33" spans="1:21" ht="24" customHeight="1">
      <c r="A33" s="127" t="s">
        <v>271</v>
      </c>
      <c r="B33" s="127"/>
      <c r="C33" s="117"/>
      <c r="D33" s="128">
        <f>SUM(D21:D27)</f>
        <v>1818</v>
      </c>
      <c r="E33" s="128"/>
      <c r="F33" s="128"/>
      <c r="G33" s="129">
        <f>SUM(G21:G27)</f>
        <v>1818</v>
      </c>
      <c r="H33" s="129"/>
      <c r="I33" s="130"/>
      <c r="J33" s="148">
        <f>SUM(J21:J27)</f>
        <v>93.199999999999989</v>
      </c>
      <c r="K33" s="145">
        <f>SUM(K21:K27)</f>
        <v>820160</v>
      </c>
      <c r="L33" s="146">
        <f>SUM(L21:L27)</f>
        <v>-93.200000000000045</v>
      </c>
      <c r="M33" s="158">
        <f>SUM(M21:M27)</f>
        <v>-738140</v>
      </c>
      <c r="N33" s="158"/>
      <c r="O33" s="184">
        <f>SUM(O21:O27)</f>
        <v>82020</v>
      </c>
      <c r="P33" s="155" t="s">
        <v>6</v>
      </c>
      <c r="Q33" s="141"/>
      <c r="R33" s="138"/>
      <c r="S33" s="138"/>
      <c r="T33" s="138"/>
    </row>
    <row r="34" spans="1:21" ht="24" customHeight="1">
      <c r="A34" s="16">
        <v>11</v>
      </c>
      <c r="B34" s="40">
        <v>297</v>
      </c>
      <c r="C34" s="18" t="s">
        <v>169</v>
      </c>
      <c r="D34" s="41">
        <v>2366</v>
      </c>
      <c r="E34" s="40">
        <v>297</v>
      </c>
      <c r="F34" s="18" t="s">
        <v>169</v>
      </c>
      <c r="G34" s="30">
        <v>2413.5</v>
      </c>
      <c r="H34" s="38"/>
      <c r="I34" s="22">
        <v>9880</v>
      </c>
      <c r="J34" s="23">
        <f>G34-D34</f>
        <v>47.5</v>
      </c>
      <c r="K34" s="24">
        <f>ROUNDDOWN((I34*J34),-1)</f>
        <v>469300</v>
      </c>
      <c r="L34" s="25" t="str">
        <f t="shared" si="0"/>
        <v/>
      </c>
      <c r="M34" s="157" t="s">
        <v>273</v>
      </c>
      <c r="N34" s="180"/>
      <c r="O34" s="182">
        <f>ROUNDDOWN(K34,-1)</f>
        <v>469300</v>
      </c>
      <c r="P34" s="154"/>
      <c r="Q34" s="42" t="s">
        <v>282</v>
      </c>
      <c r="R34" s="27"/>
      <c r="S34" s="27"/>
      <c r="T34" s="27"/>
    </row>
    <row r="35" spans="1:21" s="4" customFormat="1" ht="24" customHeight="1">
      <c r="A35" s="16">
        <v>12</v>
      </c>
      <c r="B35" s="36" t="s">
        <v>170</v>
      </c>
      <c r="C35" s="18" t="s">
        <v>171</v>
      </c>
      <c r="D35" s="37">
        <v>300</v>
      </c>
      <c r="E35" s="36" t="s">
        <v>170</v>
      </c>
      <c r="F35" s="18" t="s">
        <v>171</v>
      </c>
      <c r="G35" s="30">
        <v>318</v>
      </c>
      <c r="H35" s="38"/>
      <c r="I35" s="22">
        <v>13900</v>
      </c>
      <c r="J35" s="23">
        <f>G35-D35</f>
        <v>18</v>
      </c>
      <c r="K35" s="24">
        <f>ROUNDDOWN((I35*J35),-1)</f>
        <v>250200</v>
      </c>
      <c r="L35" s="25" t="str">
        <f t="shared" si="0"/>
        <v/>
      </c>
      <c r="M35" s="157" t="s">
        <v>273</v>
      </c>
      <c r="N35" s="180"/>
      <c r="O35" s="182">
        <f>ROUNDDOWN(K35,-1)</f>
        <v>250200</v>
      </c>
      <c r="P35" s="154"/>
      <c r="Q35" s="42" t="s">
        <v>282</v>
      </c>
      <c r="R35" s="27"/>
      <c r="S35" s="27"/>
      <c r="T35" s="43"/>
      <c r="U35"/>
    </row>
    <row r="36" spans="1:21" s="4" customFormat="1" ht="24" customHeight="1">
      <c r="A36" s="127" t="s">
        <v>271</v>
      </c>
      <c r="B36" s="127"/>
      <c r="C36" s="117"/>
      <c r="D36" s="128">
        <f>SUM(D34:D35)</f>
        <v>2666</v>
      </c>
      <c r="E36" s="128"/>
      <c r="F36" s="128"/>
      <c r="G36" s="129">
        <f>SUM(G34:G35)</f>
        <v>2731.5</v>
      </c>
      <c r="H36" s="128"/>
      <c r="I36" s="131"/>
      <c r="J36" s="148">
        <f>SUM(J34:J35)</f>
        <v>65.5</v>
      </c>
      <c r="K36" s="145">
        <f>SUM(K34:K35)</f>
        <v>719500</v>
      </c>
      <c r="L36" s="146"/>
      <c r="M36" s="158"/>
      <c r="N36" s="158"/>
      <c r="O36" s="184">
        <f>SUM(O34:O35)</f>
        <v>719500</v>
      </c>
      <c r="P36" s="155" t="s">
        <v>6</v>
      </c>
      <c r="Q36" s="142"/>
      <c r="R36" s="138"/>
      <c r="S36" s="138"/>
      <c r="T36" s="138"/>
      <c r="U36"/>
    </row>
    <row r="37" spans="1:21" s="4" customFormat="1" ht="24" customHeight="1">
      <c r="A37" s="16">
        <v>13</v>
      </c>
      <c r="B37" s="36">
        <v>209</v>
      </c>
      <c r="C37" s="18" t="s">
        <v>169</v>
      </c>
      <c r="D37" s="37">
        <v>1392</v>
      </c>
      <c r="E37" s="36">
        <f t="shared" ref="E37:F40" si="2">B37</f>
        <v>209</v>
      </c>
      <c r="F37" s="18" t="str">
        <f t="shared" si="2"/>
        <v>답</v>
      </c>
      <c r="G37" s="30">
        <v>1353.4</v>
      </c>
      <c r="H37" s="38"/>
      <c r="I37" s="22">
        <v>7650</v>
      </c>
      <c r="J37" s="23"/>
      <c r="K37" s="24"/>
      <c r="L37" s="25">
        <f t="shared" si="0"/>
        <v>-38.599999999999909</v>
      </c>
      <c r="M37" s="157">
        <v>-295289.9999999993</v>
      </c>
      <c r="N37" s="180"/>
      <c r="O37" s="182">
        <f>M37</f>
        <v>-295289.9999999993</v>
      </c>
      <c r="P37" s="154"/>
      <c r="Q37" s="39" t="s">
        <v>283</v>
      </c>
      <c r="R37" s="27"/>
      <c r="S37" s="27"/>
      <c r="T37" s="27"/>
      <c r="U37"/>
    </row>
    <row r="38" spans="1:21" s="4" customFormat="1" ht="24" customHeight="1">
      <c r="A38" s="16">
        <v>14</v>
      </c>
      <c r="B38" s="36">
        <v>225</v>
      </c>
      <c r="C38" s="18" t="s">
        <v>168</v>
      </c>
      <c r="D38" s="37">
        <v>1405</v>
      </c>
      <c r="E38" s="36">
        <f t="shared" si="2"/>
        <v>225</v>
      </c>
      <c r="F38" s="18" t="str">
        <f t="shared" si="2"/>
        <v>전</v>
      </c>
      <c r="G38" s="30">
        <v>1575.2</v>
      </c>
      <c r="H38" s="38"/>
      <c r="I38" s="22">
        <v>8400</v>
      </c>
      <c r="J38" s="23">
        <f>G38-D38</f>
        <v>170.20000000000005</v>
      </c>
      <c r="K38" s="24">
        <f>ROUNDDOWN((I38*J38),-1)</f>
        <v>1429680</v>
      </c>
      <c r="L38" s="25" t="str">
        <f t="shared" si="0"/>
        <v/>
      </c>
      <c r="M38" s="157" t="s">
        <v>273</v>
      </c>
      <c r="N38" s="180"/>
      <c r="O38" s="182">
        <f>K38</f>
        <v>1429680</v>
      </c>
      <c r="P38" s="154"/>
      <c r="Q38" s="39" t="s">
        <v>283</v>
      </c>
      <c r="R38" s="27"/>
      <c r="S38" s="27"/>
      <c r="T38" s="27"/>
      <c r="U38"/>
    </row>
    <row r="39" spans="1:21" s="4" customFormat="1" ht="24" customHeight="1">
      <c r="A39" s="16">
        <v>15</v>
      </c>
      <c r="B39" s="36">
        <v>228</v>
      </c>
      <c r="C39" s="18" t="s">
        <v>168</v>
      </c>
      <c r="D39" s="37">
        <v>899</v>
      </c>
      <c r="E39" s="36">
        <f t="shared" si="2"/>
        <v>228</v>
      </c>
      <c r="F39" s="18" t="str">
        <f t="shared" si="2"/>
        <v>전</v>
      </c>
      <c r="G39" s="30">
        <v>1059.3</v>
      </c>
      <c r="H39" s="38"/>
      <c r="I39" s="22">
        <v>8400</v>
      </c>
      <c r="J39" s="23">
        <f>G39-D39</f>
        <v>160.29999999999995</v>
      </c>
      <c r="K39" s="24">
        <f>ROUNDDOWN((I39*J39),-1)</f>
        <v>1346520</v>
      </c>
      <c r="L39" s="25" t="str">
        <f t="shared" si="0"/>
        <v/>
      </c>
      <c r="M39" s="157" t="s">
        <v>273</v>
      </c>
      <c r="N39" s="180"/>
      <c r="O39" s="182">
        <f>K39</f>
        <v>1346520</v>
      </c>
      <c r="P39" s="154"/>
      <c r="Q39" s="39" t="s">
        <v>283</v>
      </c>
      <c r="R39" s="27"/>
      <c r="S39" s="27"/>
      <c r="T39" s="27"/>
      <c r="U39"/>
    </row>
    <row r="40" spans="1:21" s="4" customFormat="1" ht="24" customHeight="1">
      <c r="A40" s="16">
        <v>16</v>
      </c>
      <c r="B40" s="36" t="s">
        <v>172</v>
      </c>
      <c r="C40" s="18" t="s">
        <v>169</v>
      </c>
      <c r="D40" s="37">
        <v>1451</v>
      </c>
      <c r="E40" s="36" t="str">
        <f t="shared" si="2"/>
        <v>235-7</v>
      </c>
      <c r="F40" s="18" t="str">
        <f t="shared" si="2"/>
        <v>답</v>
      </c>
      <c r="G40" s="30">
        <v>1410.5</v>
      </c>
      <c r="H40" s="38"/>
      <c r="I40" s="22">
        <v>7890</v>
      </c>
      <c r="J40" s="23"/>
      <c r="K40" s="24"/>
      <c r="L40" s="25">
        <f t="shared" si="0"/>
        <v>-40.5</v>
      </c>
      <c r="M40" s="157">
        <f>ROUNDDOWN((-319545),-1)</f>
        <v>-319540</v>
      </c>
      <c r="N40" s="180"/>
      <c r="O40" s="182">
        <f>M40</f>
        <v>-319540</v>
      </c>
      <c r="P40" s="154"/>
      <c r="Q40" s="39" t="s">
        <v>283</v>
      </c>
      <c r="R40" s="27"/>
      <c r="S40" s="27"/>
      <c r="T40" s="27"/>
      <c r="U40"/>
    </row>
    <row r="41" spans="1:21" s="4" customFormat="1" ht="24" customHeight="1">
      <c r="A41" s="127" t="s">
        <v>271</v>
      </c>
      <c r="B41" s="127"/>
      <c r="C41" s="117"/>
      <c r="D41" s="128">
        <f>SUM(D37:D40)</f>
        <v>5147</v>
      </c>
      <c r="E41" s="128"/>
      <c r="F41" s="128"/>
      <c r="G41" s="132">
        <f>SUM(G37:G40)</f>
        <v>5398.4000000000005</v>
      </c>
      <c r="H41" s="132"/>
      <c r="I41" s="133"/>
      <c r="J41" s="149">
        <f>SUM(J37:J40)</f>
        <v>330.5</v>
      </c>
      <c r="K41" s="183">
        <f>SUM(K37:K40)</f>
        <v>2776200</v>
      </c>
      <c r="L41" s="146">
        <f>SUM(L37:L40)</f>
        <v>-79.099999999999909</v>
      </c>
      <c r="M41" s="158">
        <f>SUM(M37:M40)</f>
        <v>-614829.9999999993</v>
      </c>
      <c r="N41" s="158"/>
      <c r="O41" s="184">
        <f>SUM(O37:O40)</f>
        <v>2161370.0000000009</v>
      </c>
      <c r="P41" s="155" t="s">
        <v>6</v>
      </c>
      <c r="Q41" s="141"/>
      <c r="R41" s="138"/>
      <c r="S41" s="138"/>
      <c r="T41" s="138"/>
      <c r="U41"/>
    </row>
    <row r="42" spans="1:21" s="4" customFormat="1" ht="24" customHeight="1">
      <c r="A42" s="16">
        <v>17</v>
      </c>
      <c r="B42" s="36">
        <v>211</v>
      </c>
      <c r="C42" s="18" t="s">
        <v>168</v>
      </c>
      <c r="D42" s="37">
        <v>635</v>
      </c>
      <c r="E42" s="36">
        <v>211</v>
      </c>
      <c r="F42" s="18" t="s">
        <v>168</v>
      </c>
      <c r="G42" s="30">
        <v>540.5</v>
      </c>
      <c r="H42" s="38"/>
      <c r="I42" s="22">
        <v>7800</v>
      </c>
      <c r="J42" s="23"/>
      <c r="K42" s="24"/>
      <c r="L42" s="25">
        <f t="shared" si="0"/>
        <v>-94.5</v>
      </c>
      <c r="M42" s="157">
        <v>-737100</v>
      </c>
      <c r="N42" s="180"/>
      <c r="O42" s="182">
        <f>M42</f>
        <v>-737100</v>
      </c>
      <c r="P42" s="154"/>
      <c r="Q42" s="39" t="s">
        <v>284</v>
      </c>
      <c r="R42" s="27"/>
      <c r="S42" s="27"/>
      <c r="T42" s="27"/>
      <c r="U42"/>
    </row>
    <row r="43" spans="1:21" s="4" customFormat="1" ht="24" customHeight="1">
      <c r="A43" s="16">
        <v>18</v>
      </c>
      <c r="B43" s="36">
        <v>212</v>
      </c>
      <c r="C43" s="18" t="s">
        <v>168</v>
      </c>
      <c r="D43" s="37">
        <v>426</v>
      </c>
      <c r="E43" s="36">
        <v>212</v>
      </c>
      <c r="F43" s="18" t="s">
        <v>168</v>
      </c>
      <c r="G43" s="30">
        <v>451.3</v>
      </c>
      <c r="H43" s="38"/>
      <c r="I43" s="22">
        <v>4350</v>
      </c>
      <c r="J43" s="23">
        <f>G43-D43</f>
        <v>25.300000000000011</v>
      </c>
      <c r="K43" s="24">
        <f>ROUNDDOWN((I43*J43),-1)</f>
        <v>110050</v>
      </c>
      <c r="L43" s="25" t="str">
        <f t="shared" si="0"/>
        <v/>
      </c>
      <c r="M43" s="157" t="s">
        <v>273</v>
      </c>
      <c r="N43" s="180"/>
      <c r="O43" s="182">
        <f>K43</f>
        <v>110050</v>
      </c>
      <c r="P43" s="154"/>
      <c r="Q43" s="39" t="s">
        <v>284</v>
      </c>
      <c r="R43" s="27"/>
      <c r="S43" s="27"/>
      <c r="T43" s="27"/>
      <c r="U43"/>
    </row>
    <row r="44" spans="1:21" s="4" customFormat="1" ht="24" customHeight="1">
      <c r="A44" s="127" t="s">
        <v>271</v>
      </c>
      <c r="B44" s="127"/>
      <c r="C44" s="117"/>
      <c r="D44" s="128">
        <f>SUM(D42:D43)</f>
        <v>1061</v>
      </c>
      <c r="E44" s="127"/>
      <c r="F44" s="117"/>
      <c r="G44" s="124">
        <f>SUM(G42:G43)</f>
        <v>991.8</v>
      </c>
      <c r="H44" s="134"/>
      <c r="I44" s="135"/>
      <c r="J44" s="147">
        <f>SUM(J42:J43)</f>
        <v>25.300000000000011</v>
      </c>
      <c r="K44" s="145">
        <f>SUM(K42:K43)</f>
        <v>110050</v>
      </c>
      <c r="L44" s="146">
        <f>SUM(L42:L43)</f>
        <v>-94.5</v>
      </c>
      <c r="M44" s="158">
        <f>SUM(M42:M43)</f>
        <v>-737100</v>
      </c>
      <c r="N44" s="158"/>
      <c r="O44" s="184">
        <f>SUM(O42:O43)</f>
        <v>-627050</v>
      </c>
      <c r="P44" s="155" t="s">
        <v>6</v>
      </c>
      <c r="Q44" s="141"/>
      <c r="R44" s="138"/>
      <c r="S44" s="138"/>
      <c r="T44" s="143"/>
      <c r="U44"/>
    </row>
    <row r="45" spans="1:21" ht="24" customHeight="1">
      <c r="A45" s="16">
        <v>19</v>
      </c>
      <c r="B45" s="44" t="s">
        <v>173</v>
      </c>
      <c r="C45" s="18" t="s">
        <v>174</v>
      </c>
      <c r="D45" s="45">
        <v>959</v>
      </c>
      <c r="E45" s="44" t="str">
        <f>B45</f>
        <v>296-2</v>
      </c>
      <c r="F45" s="18" t="str">
        <f>C45</f>
        <v>제방</v>
      </c>
      <c r="G45" s="16">
        <v>930.6</v>
      </c>
      <c r="H45" s="38"/>
      <c r="I45" s="22">
        <v>2640</v>
      </c>
      <c r="J45" s="23"/>
      <c r="K45" s="24"/>
      <c r="L45" s="25">
        <f t="shared" si="0"/>
        <v>-28.399999999999977</v>
      </c>
      <c r="M45" s="157">
        <f>ROUNDDOWN((-74975.9999999999),-1)</f>
        <v>-74970</v>
      </c>
      <c r="N45" s="180"/>
      <c r="O45" s="182">
        <f>M45</f>
        <v>-74970</v>
      </c>
      <c r="P45" s="154" t="s">
        <v>6</v>
      </c>
      <c r="Q45" s="46" t="s">
        <v>285</v>
      </c>
      <c r="R45" s="27"/>
      <c r="S45" s="27"/>
      <c r="T45" s="43"/>
    </row>
    <row r="46" spans="1:21" ht="24" customHeight="1">
      <c r="A46" s="16">
        <v>20</v>
      </c>
      <c r="B46" s="17" t="s">
        <v>175</v>
      </c>
      <c r="C46" s="18" t="s">
        <v>176</v>
      </c>
      <c r="D46" s="47">
        <v>255</v>
      </c>
      <c r="E46" s="44" t="str">
        <f>B46</f>
        <v>296-3</v>
      </c>
      <c r="F46" s="18" t="str">
        <f>C46</f>
        <v>하천</v>
      </c>
      <c r="G46" s="18">
        <v>196.4</v>
      </c>
      <c r="H46" s="48"/>
      <c r="I46" s="22">
        <v>2640</v>
      </c>
      <c r="J46" s="23"/>
      <c r="K46" s="24"/>
      <c r="L46" s="25">
        <f t="shared" si="0"/>
        <v>-58.599999999999994</v>
      </c>
      <c r="M46" s="157">
        <f>ROUNDDOWN((-154704),-1)</f>
        <v>-154700</v>
      </c>
      <c r="N46" s="180"/>
      <c r="O46" s="182">
        <f>M46</f>
        <v>-154700</v>
      </c>
      <c r="P46" s="154" t="s">
        <v>6</v>
      </c>
      <c r="Q46" s="46" t="s">
        <v>285</v>
      </c>
      <c r="R46" s="27"/>
      <c r="S46" s="27"/>
      <c r="T46" s="43"/>
    </row>
    <row r="47" spans="1:21" s="4" customFormat="1" ht="24" customHeight="1">
      <c r="A47" s="127" t="s">
        <v>271</v>
      </c>
      <c r="B47" s="127"/>
      <c r="C47" s="117"/>
      <c r="D47" s="128">
        <f>SUM(D45:D46)</f>
        <v>1214</v>
      </c>
      <c r="E47" s="127"/>
      <c r="F47" s="117"/>
      <c r="G47" s="124">
        <f>SUM(G45:G46)</f>
        <v>1127</v>
      </c>
      <c r="H47" s="134"/>
      <c r="I47" s="135"/>
      <c r="J47" s="147"/>
      <c r="K47" s="145"/>
      <c r="L47" s="146">
        <f>SUM(L45:L46)</f>
        <v>-86.999999999999972</v>
      </c>
      <c r="M47" s="158">
        <f>SUM(M45:M46)</f>
        <v>-229670</v>
      </c>
      <c r="N47" s="158"/>
      <c r="O47" s="184">
        <f>SUM(O45:O46)</f>
        <v>-229670</v>
      </c>
      <c r="P47" s="155" t="s">
        <v>6</v>
      </c>
      <c r="Q47" s="141"/>
      <c r="R47" s="138"/>
      <c r="S47" s="138"/>
      <c r="T47" s="143"/>
      <c r="U47"/>
    </row>
    <row r="48" spans="1:21" ht="24" customHeight="1">
      <c r="A48" s="16">
        <v>21</v>
      </c>
      <c r="B48" s="49">
        <v>159</v>
      </c>
      <c r="C48" s="18" t="s">
        <v>177</v>
      </c>
      <c r="D48" s="50">
        <v>1934</v>
      </c>
      <c r="E48" s="49">
        <v>159</v>
      </c>
      <c r="F48" s="18" t="s">
        <v>177</v>
      </c>
      <c r="G48" s="51">
        <v>2041.5</v>
      </c>
      <c r="H48" s="38"/>
      <c r="I48" s="22">
        <v>9320</v>
      </c>
      <c r="J48" s="23">
        <f>G48-D48</f>
        <v>107.5</v>
      </c>
      <c r="K48" s="24">
        <f>ROUNDDOWN((I48*J48),-1)</f>
        <v>1001900</v>
      </c>
      <c r="L48" s="25" t="str">
        <f t="shared" si="0"/>
        <v/>
      </c>
      <c r="M48" s="157" t="s">
        <v>273</v>
      </c>
      <c r="N48" s="180"/>
      <c r="O48" s="182">
        <f>K48</f>
        <v>1001900</v>
      </c>
      <c r="P48" s="154" t="s">
        <v>6</v>
      </c>
      <c r="Q48" s="52" t="s">
        <v>286</v>
      </c>
      <c r="R48" s="27"/>
      <c r="S48" s="27"/>
      <c r="T48" s="43"/>
    </row>
    <row r="49" spans="1:21" ht="24" customHeight="1">
      <c r="A49" s="16">
        <v>22</v>
      </c>
      <c r="B49" s="49">
        <v>161</v>
      </c>
      <c r="C49" s="18" t="s">
        <v>178</v>
      </c>
      <c r="D49" s="50">
        <v>1954</v>
      </c>
      <c r="E49" s="49">
        <v>161</v>
      </c>
      <c r="F49" s="18" t="s">
        <v>178</v>
      </c>
      <c r="G49" s="51">
        <v>1811</v>
      </c>
      <c r="H49" s="38"/>
      <c r="I49" s="22">
        <v>9320</v>
      </c>
      <c r="J49" s="23"/>
      <c r="K49" s="24"/>
      <c r="L49" s="25">
        <f t="shared" si="0"/>
        <v>-143</v>
      </c>
      <c r="M49" s="156">
        <v>-1332760</v>
      </c>
      <c r="N49" s="181"/>
      <c r="O49" s="182">
        <f>M49</f>
        <v>-1332760</v>
      </c>
      <c r="P49" s="154" t="s">
        <v>6</v>
      </c>
      <c r="Q49" s="52" t="s">
        <v>286</v>
      </c>
      <c r="R49" s="27"/>
      <c r="S49" s="27"/>
      <c r="T49" s="43"/>
    </row>
    <row r="50" spans="1:21" s="4" customFormat="1" ht="24" customHeight="1">
      <c r="A50" s="127" t="s">
        <v>271</v>
      </c>
      <c r="B50" s="127"/>
      <c r="C50" s="117"/>
      <c r="D50" s="128">
        <f>SUM(D48:D49)</f>
        <v>3888</v>
      </c>
      <c r="E50" s="127"/>
      <c r="F50" s="117"/>
      <c r="G50" s="124">
        <f>SUM(G48:G49)</f>
        <v>3852.5</v>
      </c>
      <c r="H50" s="134"/>
      <c r="I50" s="135"/>
      <c r="J50" s="147">
        <f>SUM(J48:J49)</f>
        <v>107.5</v>
      </c>
      <c r="K50" s="145">
        <f>SUM(K48:K49)</f>
        <v>1001900</v>
      </c>
      <c r="L50" s="152">
        <f>SUM(L48:L49)</f>
        <v>-143</v>
      </c>
      <c r="M50" s="189">
        <f>SUM(M48:M49)</f>
        <v>-1332760</v>
      </c>
      <c r="N50" s="158"/>
      <c r="O50" s="184">
        <f>SUM(O48:O49)</f>
        <v>-330860</v>
      </c>
      <c r="P50" s="155" t="s">
        <v>6</v>
      </c>
      <c r="Q50" s="141"/>
      <c r="R50" s="138"/>
      <c r="S50" s="138"/>
      <c r="T50" s="143"/>
      <c r="U50"/>
    </row>
    <row r="51" spans="1:21" ht="24" customHeight="1">
      <c r="A51" s="16">
        <v>23</v>
      </c>
      <c r="B51" s="53" t="s">
        <v>179</v>
      </c>
      <c r="C51" s="18" t="s">
        <v>178</v>
      </c>
      <c r="D51" s="50">
        <v>238</v>
      </c>
      <c r="E51" s="53" t="str">
        <f t="shared" ref="E51:F53" si="3">B51</f>
        <v>157-1</v>
      </c>
      <c r="F51" s="18" t="str">
        <f t="shared" si="3"/>
        <v>전</v>
      </c>
      <c r="G51" s="51">
        <v>207.7</v>
      </c>
      <c r="H51" s="38"/>
      <c r="I51" s="22">
        <v>9880</v>
      </c>
      <c r="J51" s="23"/>
      <c r="K51" s="24"/>
      <c r="L51" s="25">
        <f t="shared" si="0"/>
        <v>-30.300000000000011</v>
      </c>
      <c r="M51" s="157">
        <f>ROUNDDOWN((-299364),-1)</f>
        <v>-299360</v>
      </c>
      <c r="N51" s="180"/>
      <c r="O51" s="182">
        <f>M51</f>
        <v>-299360</v>
      </c>
      <c r="P51" s="154" t="s">
        <v>6</v>
      </c>
      <c r="Q51" s="52" t="s">
        <v>287</v>
      </c>
      <c r="R51" s="27"/>
      <c r="S51" s="27"/>
      <c r="T51" s="43"/>
    </row>
    <row r="52" spans="1:21" ht="24" customHeight="1">
      <c r="A52" s="16">
        <v>24</v>
      </c>
      <c r="B52" s="53" t="s">
        <v>180</v>
      </c>
      <c r="C52" s="18" t="s">
        <v>181</v>
      </c>
      <c r="D52" s="50">
        <v>340</v>
      </c>
      <c r="E52" s="53" t="str">
        <f t="shared" si="3"/>
        <v>157-4</v>
      </c>
      <c r="F52" s="18" t="str">
        <f t="shared" si="3"/>
        <v>대</v>
      </c>
      <c r="G52" s="51">
        <v>462.1</v>
      </c>
      <c r="H52" s="38"/>
      <c r="I52" s="22">
        <v>12500</v>
      </c>
      <c r="J52" s="23">
        <f>G52-D52</f>
        <v>122.10000000000002</v>
      </c>
      <c r="K52" s="24">
        <f>ROUNDDOWN((I52*J52),-1)</f>
        <v>1526250</v>
      </c>
      <c r="L52" s="25" t="str">
        <f t="shared" si="0"/>
        <v/>
      </c>
      <c r="M52" s="157" t="s">
        <v>273</v>
      </c>
      <c r="N52" s="180"/>
      <c r="O52" s="182">
        <f>K52</f>
        <v>1526250</v>
      </c>
      <c r="P52" s="154" t="s">
        <v>6</v>
      </c>
      <c r="Q52" s="52" t="s">
        <v>287</v>
      </c>
      <c r="R52" s="27"/>
      <c r="S52" s="27"/>
      <c r="T52" s="43"/>
    </row>
    <row r="53" spans="1:21" ht="24" customHeight="1">
      <c r="A53" s="16">
        <v>25</v>
      </c>
      <c r="B53" s="40">
        <v>217</v>
      </c>
      <c r="C53" s="18" t="s">
        <v>177</v>
      </c>
      <c r="D53" s="54">
        <v>536</v>
      </c>
      <c r="E53" s="53">
        <f t="shared" si="3"/>
        <v>217</v>
      </c>
      <c r="F53" s="18" t="str">
        <f t="shared" si="3"/>
        <v>답</v>
      </c>
      <c r="G53" s="51">
        <v>511.4</v>
      </c>
      <c r="H53" s="38"/>
      <c r="I53" s="22">
        <v>7650</v>
      </c>
      <c r="J53" s="23"/>
      <c r="K53" s="24"/>
      <c r="L53" s="25">
        <f t="shared" si="0"/>
        <v>-24.600000000000023</v>
      </c>
      <c r="M53" s="157">
        <v>-188190</v>
      </c>
      <c r="N53" s="180"/>
      <c r="O53" s="182">
        <f>M53</f>
        <v>-188190</v>
      </c>
      <c r="P53" s="154" t="s">
        <v>6</v>
      </c>
      <c r="Q53" s="52" t="s">
        <v>287</v>
      </c>
      <c r="R53" s="27"/>
      <c r="S53" s="27"/>
      <c r="T53" s="43"/>
    </row>
    <row r="54" spans="1:21" s="4" customFormat="1" ht="24" customHeight="1">
      <c r="A54" s="127" t="s">
        <v>271</v>
      </c>
      <c r="B54" s="127"/>
      <c r="C54" s="117"/>
      <c r="D54" s="128">
        <f>SUM(D51:D53)</f>
        <v>1114</v>
      </c>
      <c r="E54" s="127"/>
      <c r="F54" s="117"/>
      <c r="G54" s="124">
        <f>SUM(G51:G53)</f>
        <v>1181.1999999999998</v>
      </c>
      <c r="H54" s="134"/>
      <c r="I54" s="135"/>
      <c r="J54" s="147">
        <f>SUM(J51:J53)</f>
        <v>122.10000000000002</v>
      </c>
      <c r="K54" s="145">
        <f>SUM(K51:K53)</f>
        <v>1526250</v>
      </c>
      <c r="L54" s="146">
        <f>SUM(L51:L53)</f>
        <v>-54.900000000000034</v>
      </c>
      <c r="M54" s="158">
        <f>SUM(M51:M53)</f>
        <v>-487550</v>
      </c>
      <c r="N54" s="158"/>
      <c r="O54" s="184">
        <f>SUM(O51:O53)</f>
        <v>1038700</v>
      </c>
      <c r="P54" s="155" t="s">
        <v>6</v>
      </c>
      <c r="Q54" s="141"/>
      <c r="R54" s="138"/>
      <c r="S54" s="138"/>
      <c r="T54" s="143"/>
      <c r="U54"/>
    </row>
    <row r="55" spans="1:21" ht="24" customHeight="1">
      <c r="A55" s="16">
        <v>26</v>
      </c>
      <c r="B55" s="36" t="s">
        <v>182</v>
      </c>
      <c r="C55" s="18" t="s">
        <v>183</v>
      </c>
      <c r="D55" s="55">
        <v>2410</v>
      </c>
      <c r="E55" s="36" t="str">
        <f t="shared" ref="E55:F58" si="4">B55</f>
        <v>201-2</v>
      </c>
      <c r="F55" s="18" t="str">
        <f t="shared" si="4"/>
        <v>과수원</v>
      </c>
      <c r="G55" s="51">
        <v>2441.6999999999998</v>
      </c>
      <c r="H55" s="38"/>
      <c r="I55" s="22">
        <v>7650</v>
      </c>
      <c r="J55" s="23">
        <f>G55-D55</f>
        <v>31.699999999999818</v>
      </c>
      <c r="K55" s="24">
        <f>ROUNDDOWN((I55*J55),-1)</f>
        <v>242500</v>
      </c>
      <c r="L55" s="25" t="str">
        <f t="shared" si="0"/>
        <v/>
      </c>
      <c r="M55" s="157" t="s">
        <v>273</v>
      </c>
      <c r="N55" s="180"/>
      <c r="O55" s="182">
        <f>K55</f>
        <v>242500</v>
      </c>
      <c r="P55" s="154" t="s">
        <v>6</v>
      </c>
      <c r="Q55" s="39" t="s">
        <v>288</v>
      </c>
      <c r="R55" s="27"/>
      <c r="S55" s="27"/>
      <c r="T55" s="43"/>
    </row>
    <row r="56" spans="1:21" ht="24" customHeight="1">
      <c r="A56" s="16">
        <v>27</v>
      </c>
      <c r="B56" s="36">
        <v>239</v>
      </c>
      <c r="C56" s="18" t="s">
        <v>178</v>
      </c>
      <c r="D56" s="55">
        <v>1964</v>
      </c>
      <c r="E56" s="36">
        <f t="shared" si="4"/>
        <v>239</v>
      </c>
      <c r="F56" s="18" t="str">
        <f t="shared" si="4"/>
        <v>전</v>
      </c>
      <c r="G56" s="51">
        <v>2087.4</v>
      </c>
      <c r="H56" s="56"/>
      <c r="I56" s="22">
        <v>8400</v>
      </c>
      <c r="J56" s="23">
        <f>G56-D56</f>
        <v>123.40000000000009</v>
      </c>
      <c r="K56" s="24">
        <f>ROUNDDOWN((I56*J56),-1)</f>
        <v>1036560</v>
      </c>
      <c r="L56" s="25" t="str">
        <f t="shared" si="0"/>
        <v/>
      </c>
      <c r="M56" s="157" t="s">
        <v>273</v>
      </c>
      <c r="N56" s="180"/>
      <c r="O56" s="182">
        <f>K56</f>
        <v>1036560</v>
      </c>
      <c r="P56" s="154" t="s">
        <v>6</v>
      </c>
      <c r="Q56" s="39" t="s">
        <v>288</v>
      </c>
      <c r="R56" s="27"/>
      <c r="S56" s="27"/>
      <c r="T56" s="43"/>
    </row>
    <row r="57" spans="1:21" ht="24" customHeight="1">
      <c r="A57" s="16">
        <v>28</v>
      </c>
      <c r="B57" s="36">
        <v>249</v>
      </c>
      <c r="C57" s="18" t="s">
        <v>177</v>
      </c>
      <c r="D57" s="55">
        <v>734</v>
      </c>
      <c r="E57" s="36">
        <f t="shared" si="4"/>
        <v>249</v>
      </c>
      <c r="F57" s="18" t="str">
        <f t="shared" si="4"/>
        <v>답</v>
      </c>
      <c r="G57" s="51">
        <v>759</v>
      </c>
      <c r="H57" s="38"/>
      <c r="I57" s="22">
        <v>7890</v>
      </c>
      <c r="J57" s="23">
        <f>G57-D57</f>
        <v>25</v>
      </c>
      <c r="K57" s="24">
        <f>ROUNDDOWN((I57*J57),-1)</f>
        <v>197250</v>
      </c>
      <c r="L57" s="25" t="str">
        <f t="shared" si="0"/>
        <v/>
      </c>
      <c r="M57" s="157" t="s">
        <v>273</v>
      </c>
      <c r="N57" s="180"/>
      <c r="O57" s="182">
        <f>K57</f>
        <v>197250</v>
      </c>
      <c r="P57" s="154" t="s">
        <v>6</v>
      </c>
      <c r="Q57" s="39" t="s">
        <v>288</v>
      </c>
      <c r="R57" s="27"/>
      <c r="S57" s="27"/>
      <c r="T57" s="43"/>
    </row>
    <row r="58" spans="1:21" ht="24" customHeight="1">
      <c r="A58" s="16">
        <v>29</v>
      </c>
      <c r="B58" s="36">
        <v>250</v>
      </c>
      <c r="C58" s="18" t="s">
        <v>177</v>
      </c>
      <c r="D58" s="55">
        <v>1025</v>
      </c>
      <c r="E58" s="36">
        <f t="shared" si="4"/>
        <v>250</v>
      </c>
      <c r="F58" s="18" t="str">
        <f t="shared" si="4"/>
        <v>답</v>
      </c>
      <c r="G58" s="51">
        <v>994.9</v>
      </c>
      <c r="H58" s="38"/>
      <c r="I58" s="22">
        <v>7890</v>
      </c>
      <c r="J58" s="23"/>
      <c r="K58" s="24"/>
      <c r="L58" s="25">
        <f t="shared" si="0"/>
        <v>-30.100000000000023</v>
      </c>
      <c r="M58" s="157">
        <f>ROUNDDOWN((-237489),-1)</f>
        <v>-237480</v>
      </c>
      <c r="N58" s="180"/>
      <c r="O58" s="182">
        <f>M58</f>
        <v>-237480</v>
      </c>
      <c r="P58" s="154" t="s">
        <v>6</v>
      </c>
      <c r="Q58" s="39" t="s">
        <v>288</v>
      </c>
      <c r="R58" s="27"/>
      <c r="S58" s="27"/>
      <c r="T58" s="43"/>
    </row>
    <row r="59" spans="1:21" s="4" customFormat="1" ht="24" customHeight="1">
      <c r="A59" s="127" t="s">
        <v>271</v>
      </c>
      <c r="B59" s="127"/>
      <c r="C59" s="117"/>
      <c r="D59" s="128">
        <f>SUM(D55:D58)</f>
        <v>6133</v>
      </c>
      <c r="E59" s="127"/>
      <c r="F59" s="117"/>
      <c r="G59" s="124">
        <f>SUM(G55:G58)</f>
        <v>6283</v>
      </c>
      <c r="H59" s="134"/>
      <c r="I59" s="135"/>
      <c r="J59" s="147">
        <f>SUM(J55:J58)</f>
        <v>180.09999999999991</v>
      </c>
      <c r="K59" s="145">
        <f>SUM(K55:K58)</f>
        <v>1476310</v>
      </c>
      <c r="L59" s="146">
        <f>SUM(L55:L58)</f>
        <v>-30.100000000000023</v>
      </c>
      <c r="M59" s="158">
        <f>SUM(M55:M58)</f>
        <v>-237480</v>
      </c>
      <c r="N59" s="158"/>
      <c r="O59" s="184">
        <f>SUM(O55:O58)</f>
        <v>1238830</v>
      </c>
      <c r="P59" s="155" t="s">
        <v>6</v>
      </c>
      <c r="Q59" s="141"/>
      <c r="R59" s="138"/>
      <c r="S59" s="138"/>
      <c r="T59" s="143"/>
      <c r="U59"/>
    </row>
    <row r="60" spans="1:21" ht="24" customHeight="1">
      <c r="A60" s="16">
        <v>30</v>
      </c>
      <c r="B60" s="36" t="s">
        <v>184</v>
      </c>
      <c r="C60" s="18" t="s">
        <v>181</v>
      </c>
      <c r="D60" s="55">
        <v>340</v>
      </c>
      <c r="E60" s="36" t="str">
        <f t="shared" ref="E60:F62" si="5">B60</f>
        <v>156-4</v>
      </c>
      <c r="F60" s="18" t="str">
        <f t="shared" si="5"/>
        <v>대</v>
      </c>
      <c r="G60" s="51">
        <v>327.60000000000002</v>
      </c>
      <c r="H60" s="38"/>
      <c r="I60" s="22">
        <v>12500</v>
      </c>
      <c r="J60" s="23"/>
      <c r="K60" s="24"/>
      <c r="L60" s="25">
        <f t="shared" si="0"/>
        <v>-12.399999999999977</v>
      </c>
      <c r="M60" s="157">
        <v>-155000</v>
      </c>
      <c r="N60" s="180"/>
      <c r="O60" s="182">
        <f>M60</f>
        <v>-155000</v>
      </c>
      <c r="P60" s="154" t="s">
        <v>6</v>
      </c>
      <c r="Q60" s="39" t="s">
        <v>289</v>
      </c>
      <c r="R60" s="27"/>
      <c r="S60" s="27"/>
      <c r="T60" s="43"/>
    </row>
    <row r="61" spans="1:21" ht="24" customHeight="1">
      <c r="A61" s="16">
        <v>31</v>
      </c>
      <c r="B61" s="36" t="s">
        <v>185</v>
      </c>
      <c r="C61" s="18" t="s">
        <v>177</v>
      </c>
      <c r="D61" s="55">
        <v>1752</v>
      </c>
      <c r="E61" s="36" t="str">
        <f t="shared" si="5"/>
        <v>189-2</v>
      </c>
      <c r="F61" s="18" t="str">
        <f t="shared" si="5"/>
        <v>답</v>
      </c>
      <c r="G61" s="51">
        <v>1845.3</v>
      </c>
      <c r="H61" s="38"/>
      <c r="I61" s="22">
        <v>8490</v>
      </c>
      <c r="J61" s="23">
        <f>G61-D61</f>
        <v>93.299999999999955</v>
      </c>
      <c r="K61" s="24">
        <f>ROUNDDOWN((I61*J61),-1)</f>
        <v>792110</v>
      </c>
      <c r="L61" s="25" t="str">
        <f t="shared" si="0"/>
        <v/>
      </c>
      <c r="M61" s="157" t="s">
        <v>273</v>
      </c>
      <c r="N61" s="180"/>
      <c r="O61" s="182">
        <f>K61</f>
        <v>792110</v>
      </c>
      <c r="P61" s="154" t="s">
        <v>6</v>
      </c>
      <c r="Q61" s="39" t="s">
        <v>289</v>
      </c>
      <c r="R61" s="27"/>
      <c r="S61" s="27"/>
      <c r="T61" s="43"/>
    </row>
    <row r="62" spans="1:21" ht="24" customHeight="1">
      <c r="A62" s="16">
        <v>32</v>
      </c>
      <c r="B62" s="36" t="s">
        <v>186</v>
      </c>
      <c r="C62" s="18" t="s">
        <v>177</v>
      </c>
      <c r="D62" s="55">
        <v>1388</v>
      </c>
      <c r="E62" s="36" t="str">
        <f t="shared" si="5"/>
        <v>235-3</v>
      </c>
      <c r="F62" s="18" t="str">
        <f t="shared" si="5"/>
        <v>답</v>
      </c>
      <c r="G62" s="51">
        <v>1455.7</v>
      </c>
      <c r="H62" s="38"/>
      <c r="I62" s="57">
        <v>7890</v>
      </c>
      <c r="J62" s="23">
        <f>G62-D62</f>
        <v>67.700000000000045</v>
      </c>
      <c r="K62" s="24">
        <f>ROUNDDOWN((I62*J62),-1)</f>
        <v>534150</v>
      </c>
      <c r="L62" s="25" t="str">
        <f t="shared" si="0"/>
        <v/>
      </c>
      <c r="M62" s="157" t="s">
        <v>273</v>
      </c>
      <c r="N62" s="180"/>
      <c r="O62" s="182">
        <f>K62</f>
        <v>534150</v>
      </c>
      <c r="P62" s="154" t="s">
        <v>6</v>
      </c>
      <c r="Q62" s="39" t="s">
        <v>289</v>
      </c>
      <c r="R62" s="27"/>
      <c r="S62" s="27"/>
      <c r="T62" s="43"/>
    </row>
    <row r="63" spans="1:21" ht="24" customHeight="1">
      <c r="A63" s="16">
        <v>33</v>
      </c>
      <c r="B63" s="110">
        <v>229</v>
      </c>
      <c r="C63" s="89" t="s">
        <v>213</v>
      </c>
      <c r="D63" s="111">
        <v>1494</v>
      </c>
      <c r="E63" s="36">
        <f>B63</f>
        <v>229</v>
      </c>
      <c r="F63" s="18" t="str">
        <f>C63</f>
        <v>답</v>
      </c>
      <c r="G63" s="111">
        <v>1468.7</v>
      </c>
      <c r="H63" s="112"/>
      <c r="I63" s="22">
        <v>7890</v>
      </c>
      <c r="J63" s="23"/>
      <c r="K63" s="24"/>
      <c r="L63" s="25">
        <f>IF(G63-D63&gt;0,"",G63-D63)</f>
        <v>-25.299999999999955</v>
      </c>
      <c r="M63" s="157">
        <f>ROUNDDOWN((-199617),-1)</f>
        <v>-199610</v>
      </c>
      <c r="N63" s="180"/>
      <c r="O63" s="182">
        <f>M63</f>
        <v>-199610</v>
      </c>
      <c r="P63" s="154"/>
      <c r="Q63" s="113" t="s">
        <v>289</v>
      </c>
      <c r="R63" s="94"/>
      <c r="S63" s="94"/>
      <c r="T63" s="94"/>
    </row>
    <row r="64" spans="1:21" s="4" customFormat="1" ht="24" customHeight="1">
      <c r="A64" s="127" t="s">
        <v>271</v>
      </c>
      <c r="B64" s="127"/>
      <c r="C64" s="117"/>
      <c r="D64" s="128">
        <f>SUM(D60:D62)</f>
        <v>3480</v>
      </c>
      <c r="E64" s="127"/>
      <c r="F64" s="117"/>
      <c r="G64" s="124">
        <f>SUM(G60:G62)</f>
        <v>3628.6000000000004</v>
      </c>
      <c r="H64" s="134"/>
      <c r="I64" s="135"/>
      <c r="J64" s="147">
        <f>SUM(J60:J62)</f>
        <v>161</v>
      </c>
      <c r="K64" s="145">
        <f>SUM(K60:K62)</f>
        <v>1326260</v>
      </c>
      <c r="L64" s="146">
        <f>SUM(L60:L63)</f>
        <v>-37.699999999999932</v>
      </c>
      <c r="M64" s="158">
        <f>SUM(M60:M63)</f>
        <v>-354610</v>
      </c>
      <c r="N64" s="158"/>
      <c r="O64" s="184">
        <f>SUM(O60:O63)</f>
        <v>971650</v>
      </c>
      <c r="P64" s="155" t="s">
        <v>6</v>
      </c>
      <c r="Q64" s="141"/>
      <c r="R64" s="138"/>
      <c r="S64" s="138"/>
      <c r="T64" s="143"/>
      <c r="U64"/>
    </row>
    <row r="65" spans="1:21" ht="24" customHeight="1">
      <c r="A65" s="16">
        <v>34</v>
      </c>
      <c r="B65" s="58" t="s">
        <v>187</v>
      </c>
      <c r="C65" s="18" t="s">
        <v>178</v>
      </c>
      <c r="D65" s="55">
        <v>1203</v>
      </c>
      <c r="E65" s="58" t="str">
        <f>B65</f>
        <v>85-2</v>
      </c>
      <c r="F65" s="18" t="s">
        <v>178</v>
      </c>
      <c r="G65" s="51">
        <v>1183</v>
      </c>
      <c r="H65" s="38"/>
      <c r="I65" s="57">
        <v>7920</v>
      </c>
      <c r="J65" s="23"/>
      <c r="K65" s="24"/>
      <c r="L65" s="25">
        <f t="shared" si="0"/>
        <v>-20</v>
      </c>
      <c r="M65" s="157">
        <v>-158400</v>
      </c>
      <c r="N65" s="180"/>
      <c r="O65" s="182">
        <f>M65</f>
        <v>-158400</v>
      </c>
      <c r="P65" s="154" t="s">
        <v>6</v>
      </c>
      <c r="Q65" s="39" t="s">
        <v>290</v>
      </c>
      <c r="R65" s="27"/>
      <c r="S65" s="27"/>
      <c r="T65" s="43"/>
    </row>
    <row r="66" spans="1:21" ht="24" customHeight="1">
      <c r="A66" s="16">
        <v>35</v>
      </c>
      <c r="B66" s="58" t="s">
        <v>188</v>
      </c>
      <c r="C66" s="18" t="s">
        <v>178</v>
      </c>
      <c r="D66" s="55">
        <v>893</v>
      </c>
      <c r="E66" s="58" t="str">
        <f>B66</f>
        <v>85-3</v>
      </c>
      <c r="F66" s="18" t="s">
        <v>178</v>
      </c>
      <c r="G66" s="51">
        <v>824.8</v>
      </c>
      <c r="H66" s="38"/>
      <c r="I66" s="57">
        <v>7920</v>
      </c>
      <c r="J66" s="23"/>
      <c r="K66" s="24"/>
      <c r="L66" s="25">
        <f t="shared" si="0"/>
        <v>-68.200000000000045</v>
      </c>
      <c r="M66" s="157">
        <f>ROUNDDOWN((-540144),-1)</f>
        <v>-540140</v>
      </c>
      <c r="N66" s="180"/>
      <c r="O66" s="182">
        <f>M66</f>
        <v>-540140</v>
      </c>
      <c r="P66" s="154" t="s">
        <v>6</v>
      </c>
      <c r="Q66" s="39" t="s">
        <v>290</v>
      </c>
      <c r="R66" s="27"/>
      <c r="S66" s="27"/>
      <c r="T66" s="43"/>
    </row>
    <row r="67" spans="1:21" ht="24" customHeight="1">
      <c r="A67" s="116" t="s">
        <v>271</v>
      </c>
      <c r="B67" s="116"/>
      <c r="C67" s="117"/>
      <c r="D67" s="118">
        <f>SUM(D65:D66)</f>
        <v>2096</v>
      </c>
      <c r="E67" s="118"/>
      <c r="F67" s="118"/>
      <c r="G67" s="120">
        <f>SUM(G65:G66)</f>
        <v>2007.8</v>
      </c>
      <c r="H67" s="118"/>
      <c r="I67" s="136"/>
      <c r="J67" s="150"/>
      <c r="K67" s="151"/>
      <c r="L67" s="146">
        <f>SUM(L65:L66)</f>
        <v>-88.200000000000045</v>
      </c>
      <c r="M67" s="158">
        <f>SUM(M65:M66)</f>
        <v>-698540</v>
      </c>
      <c r="N67" s="158"/>
      <c r="O67" s="184">
        <f>SUM(O65:O66)</f>
        <v>-698540</v>
      </c>
      <c r="P67" s="155" t="s">
        <v>6</v>
      </c>
      <c r="Q67" s="137"/>
      <c r="R67" s="138"/>
      <c r="S67" s="138"/>
      <c r="T67" s="143"/>
    </row>
    <row r="68" spans="1:21" ht="24" customHeight="1">
      <c r="A68" s="16">
        <v>36</v>
      </c>
      <c r="B68" s="44" t="s">
        <v>189</v>
      </c>
      <c r="C68" s="18" t="s">
        <v>178</v>
      </c>
      <c r="D68" s="59">
        <v>1446</v>
      </c>
      <c r="E68" s="44" t="str">
        <f t="shared" ref="E68:F70" si="6">B68</f>
        <v>183-2</v>
      </c>
      <c r="F68" s="18" t="str">
        <f t="shared" si="6"/>
        <v>전</v>
      </c>
      <c r="G68" s="60">
        <v>1411.4</v>
      </c>
      <c r="H68" s="38"/>
      <c r="I68" s="22">
        <v>9880</v>
      </c>
      <c r="J68" s="23"/>
      <c r="K68" s="24"/>
      <c r="L68" s="25">
        <f t="shared" si="0"/>
        <v>-34.599999999999909</v>
      </c>
      <c r="M68" s="157">
        <f>ROUNDDOWN((-341847.999999999),-1)</f>
        <v>-341840</v>
      </c>
      <c r="N68" s="180"/>
      <c r="O68" s="182">
        <f>M68</f>
        <v>-341840</v>
      </c>
      <c r="P68" s="154"/>
      <c r="Q68" s="46" t="s">
        <v>291</v>
      </c>
      <c r="R68" s="27"/>
      <c r="S68" s="27"/>
      <c r="T68" s="43"/>
    </row>
    <row r="69" spans="1:21" ht="24" customHeight="1">
      <c r="A69" s="16">
        <v>37</v>
      </c>
      <c r="B69" s="44" t="s">
        <v>190</v>
      </c>
      <c r="C69" s="18" t="s">
        <v>178</v>
      </c>
      <c r="D69" s="59">
        <v>1107</v>
      </c>
      <c r="E69" s="44" t="str">
        <f t="shared" si="6"/>
        <v>211-1</v>
      </c>
      <c r="F69" s="18" t="str">
        <f t="shared" si="6"/>
        <v>전</v>
      </c>
      <c r="G69" s="60">
        <v>1211.9000000000001</v>
      </c>
      <c r="H69" s="38"/>
      <c r="I69" s="22">
        <v>7650</v>
      </c>
      <c r="J69" s="23">
        <f>G69-D69</f>
        <v>104.90000000000009</v>
      </c>
      <c r="K69" s="24">
        <f>ROUNDDOWN((I69*J69),-1)</f>
        <v>802480</v>
      </c>
      <c r="L69" s="25" t="str">
        <f t="shared" si="0"/>
        <v/>
      </c>
      <c r="M69" s="157" t="s">
        <v>273</v>
      </c>
      <c r="N69" s="180"/>
      <c r="O69" s="182">
        <f>K69</f>
        <v>802480</v>
      </c>
      <c r="P69" s="154"/>
      <c r="Q69" s="46" t="s">
        <v>291</v>
      </c>
      <c r="R69" s="27"/>
      <c r="S69" s="27"/>
      <c r="T69" s="43"/>
    </row>
    <row r="70" spans="1:21" ht="24" customHeight="1">
      <c r="A70" s="16">
        <v>38</v>
      </c>
      <c r="B70" s="17">
        <v>226</v>
      </c>
      <c r="C70" s="18" t="s">
        <v>178</v>
      </c>
      <c r="D70" s="19">
        <v>1081</v>
      </c>
      <c r="E70" s="44">
        <f t="shared" si="6"/>
        <v>226</v>
      </c>
      <c r="F70" s="18" t="str">
        <f t="shared" si="6"/>
        <v>전</v>
      </c>
      <c r="G70" s="60">
        <v>1237.4000000000001</v>
      </c>
      <c r="H70" s="21"/>
      <c r="I70" s="22">
        <v>8400</v>
      </c>
      <c r="J70" s="23">
        <f>G70-D70</f>
        <v>156.40000000000009</v>
      </c>
      <c r="K70" s="24">
        <f>ROUNDDOWN((I70*J70),-1)</f>
        <v>1313760</v>
      </c>
      <c r="L70" s="25" t="str">
        <f t="shared" si="0"/>
        <v/>
      </c>
      <c r="M70" s="157" t="s">
        <v>273</v>
      </c>
      <c r="N70" s="180"/>
      <c r="O70" s="182">
        <f>K70</f>
        <v>1313760</v>
      </c>
      <c r="P70" s="154"/>
      <c r="Q70" s="46" t="s">
        <v>291</v>
      </c>
      <c r="R70" s="27"/>
      <c r="S70" s="27"/>
      <c r="T70" s="43"/>
    </row>
    <row r="71" spans="1:21" s="4" customFormat="1" ht="24" customHeight="1">
      <c r="A71" s="127" t="s">
        <v>271</v>
      </c>
      <c r="B71" s="127"/>
      <c r="C71" s="117"/>
      <c r="D71" s="128">
        <f>SUM(D68:D70)</f>
        <v>3634</v>
      </c>
      <c r="E71" s="127"/>
      <c r="F71" s="117"/>
      <c r="G71" s="124">
        <f>SUM(G68:G70)</f>
        <v>3860.7000000000003</v>
      </c>
      <c r="H71" s="134"/>
      <c r="I71" s="135"/>
      <c r="J71" s="147">
        <f>SUM(J68:J70)</f>
        <v>261.30000000000018</v>
      </c>
      <c r="K71" s="145">
        <f>SUM(K68:K70)</f>
        <v>2116240</v>
      </c>
      <c r="L71" s="146">
        <f>SUM(L68:L70)</f>
        <v>-34.599999999999909</v>
      </c>
      <c r="M71" s="158">
        <f>SUM(M68:M70)</f>
        <v>-341840</v>
      </c>
      <c r="N71" s="158"/>
      <c r="O71" s="184">
        <f>SUM(O68:O70)</f>
        <v>1774400</v>
      </c>
      <c r="P71" s="155" t="s">
        <v>6</v>
      </c>
      <c r="Q71" s="141"/>
      <c r="R71" s="138"/>
      <c r="S71" s="138"/>
      <c r="T71" s="143"/>
      <c r="U71"/>
    </row>
    <row r="72" spans="1:21" ht="24" customHeight="1">
      <c r="A72" s="16">
        <v>39</v>
      </c>
      <c r="B72" s="61" t="s">
        <v>191</v>
      </c>
      <c r="C72" s="18" t="s">
        <v>178</v>
      </c>
      <c r="D72" s="62">
        <v>1329</v>
      </c>
      <c r="E72" s="61" t="s">
        <v>191</v>
      </c>
      <c r="F72" s="18" t="s">
        <v>178</v>
      </c>
      <c r="G72" s="60">
        <v>976.9</v>
      </c>
      <c r="H72" s="38"/>
      <c r="I72" s="252">
        <v>8490</v>
      </c>
      <c r="J72" s="23"/>
      <c r="K72" s="24"/>
      <c r="L72" s="25">
        <f t="shared" si="0"/>
        <v>-352.1</v>
      </c>
      <c r="M72" s="156">
        <f>ROUNDDOWN((-2989329),-1)</f>
        <v>-2989320</v>
      </c>
      <c r="N72" s="181"/>
      <c r="O72" s="182">
        <f>M72</f>
        <v>-2989320</v>
      </c>
      <c r="P72" s="154"/>
      <c r="Q72" s="64" t="s">
        <v>292</v>
      </c>
      <c r="R72" s="27"/>
      <c r="S72" s="27"/>
      <c r="T72" s="43"/>
    </row>
    <row r="73" spans="1:21" ht="24" customHeight="1">
      <c r="A73" s="16">
        <v>40</v>
      </c>
      <c r="B73" s="61" t="s">
        <v>192</v>
      </c>
      <c r="C73" s="18" t="s">
        <v>178</v>
      </c>
      <c r="D73" s="62">
        <v>1570</v>
      </c>
      <c r="E73" s="61" t="s">
        <v>192</v>
      </c>
      <c r="F73" s="18" t="s">
        <v>178</v>
      </c>
      <c r="G73" s="60">
        <v>1773.6</v>
      </c>
      <c r="H73" s="48"/>
      <c r="I73" s="252">
        <v>8400</v>
      </c>
      <c r="J73" s="23">
        <f>G73-D73</f>
        <v>203.59999999999991</v>
      </c>
      <c r="K73" s="24">
        <f>ROUNDDOWN((I73*J73),-1)</f>
        <v>1710240</v>
      </c>
      <c r="L73" s="25" t="str">
        <f t="shared" si="0"/>
        <v/>
      </c>
      <c r="M73" s="157" t="s">
        <v>273</v>
      </c>
      <c r="N73" s="180"/>
      <c r="O73" s="182">
        <f>K73</f>
        <v>1710240</v>
      </c>
      <c r="P73" s="154"/>
      <c r="Q73" s="64" t="s">
        <v>292</v>
      </c>
      <c r="R73" s="27"/>
      <c r="S73" s="27"/>
      <c r="T73" s="43"/>
    </row>
    <row r="74" spans="1:21" s="4" customFormat="1" ht="24" customHeight="1">
      <c r="A74" s="127" t="s">
        <v>271</v>
      </c>
      <c r="B74" s="127"/>
      <c r="C74" s="117"/>
      <c r="D74" s="128">
        <f>SUM(D72:D73)</f>
        <v>2899</v>
      </c>
      <c r="E74" s="127"/>
      <c r="F74" s="117"/>
      <c r="G74" s="124">
        <f>SUM(G72:G73)</f>
        <v>2750.5</v>
      </c>
      <c r="H74" s="134"/>
      <c r="I74" s="135"/>
      <c r="J74" s="190">
        <f>SUM(J72:J73)</f>
        <v>203.59999999999991</v>
      </c>
      <c r="K74" s="191">
        <f>SUM(K72:K73)</f>
        <v>1710240</v>
      </c>
      <c r="L74" s="152">
        <f>SUM(L72:L73)</f>
        <v>-352.1</v>
      </c>
      <c r="M74" s="189">
        <f>SUM(M72:M73)</f>
        <v>-2989320</v>
      </c>
      <c r="N74" s="158"/>
      <c r="O74" s="184">
        <f>SUM(O72:O73)</f>
        <v>-1279080</v>
      </c>
      <c r="P74" s="155" t="s">
        <v>6</v>
      </c>
      <c r="Q74" s="141"/>
      <c r="R74" s="138"/>
      <c r="S74" s="138"/>
      <c r="T74" s="143"/>
      <c r="U74"/>
    </row>
    <row r="75" spans="1:21" ht="24" customHeight="1">
      <c r="A75" s="16">
        <v>41</v>
      </c>
      <c r="B75" s="53" t="s">
        <v>193</v>
      </c>
      <c r="C75" s="18" t="s">
        <v>178</v>
      </c>
      <c r="D75" s="65">
        <v>752</v>
      </c>
      <c r="E75" s="53" t="s">
        <v>193</v>
      </c>
      <c r="F75" s="18" t="s">
        <v>178</v>
      </c>
      <c r="G75" s="30">
        <v>797.1</v>
      </c>
      <c r="H75" s="30"/>
      <c r="I75" s="253">
        <v>9450</v>
      </c>
      <c r="J75" s="23">
        <f>G75-D75</f>
        <v>45.100000000000023</v>
      </c>
      <c r="K75" s="24">
        <f>ROUNDDOWN((I75*J75),-1)</f>
        <v>426190</v>
      </c>
      <c r="L75" s="25" t="str">
        <f t="shared" si="0"/>
        <v/>
      </c>
      <c r="M75" s="157" t="s">
        <v>273</v>
      </c>
      <c r="N75" s="180"/>
      <c r="O75" s="182">
        <f>K75</f>
        <v>426190</v>
      </c>
      <c r="P75" s="154"/>
      <c r="Q75" s="52" t="s">
        <v>293</v>
      </c>
      <c r="R75" s="27"/>
      <c r="S75" s="27"/>
      <c r="T75" s="43"/>
    </row>
    <row r="76" spans="1:21" ht="24" customHeight="1">
      <c r="A76" s="16">
        <v>42</v>
      </c>
      <c r="B76" s="49">
        <v>195</v>
      </c>
      <c r="C76" s="18" t="s">
        <v>177</v>
      </c>
      <c r="D76" s="65">
        <v>2995</v>
      </c>
      <c r="E76" s="49">
        <v>195</v>
      </c>
      <c r="F76" s="18" t="s">
        <v>177</v>
      </c>
      <c r="G76" s="30">
        <v>3044.5</v>
      </c>
      <c r="H76" s="38"/>
      <c r="I76" s="67">
        <v>7650</v>
      </c>
      <c r="J76" s="23">
        <f>G76-D76</f>
        <v>49.5</v>
      </c>
      <c r="K76" s="24">
        <f>ROUNDDOWN((I76*J76),-1)</f>
        <v>378670</v>
      </c>
      <c r="L76" s="25" t="str">
        <f t="shared" si="0"/>
        <v/>
      </c>
      <c r="M76" s="157" t="s">
        <v>273</v>
      </c>
      <c r="N76" s="180"/>
      <c r="O76" s="182">
        <f>K76</f>
        <v>378670</v>
      </c>
      <c r="P76" s="154"/>
      <c r="Q76" s="52" t="s">
        <v>293</v>
      </c>
      <c r="R76" s="27"/>
      <c r="S76" s="27"/>
      <c r="T76" s="43"/>
    </row>
    <row r="77" spans="1:21" s="4" customFormat="1" ht="24" customHeight="1">
      <c r="A77" s="127" t="s">
        <v>271</v>
      </c>
      <c r="B77" s="127"/>
      <c r="C77" s="117"/>
      <c r="D77" s="128">
        <f>SUM(D75:D76)</f>
        <v>3747</v>
      </c>
      <c r="E77" s="127"/>
      <c r="F77" s="117"/>
      <c r="G77" s="124">
        <f>SUM(G75:G76)</f>
        <v>3841.6</v>
      </c>
      <c r="H77" s="134"/>
      <c r="I77" s="135"/>
      <c r="J77" s="147">
        <f>SUM(J75:J76)</f>
        <v>94.600000000000023</v>
      </c>
      <c r="K77" s="145">
        <f>SUM(K75:K76)</f>
        <v>804860</v>
      </c>
      <c r="L77" s="146"/>
      <c r="M77" s="158"/>
      <c r="N77" s="158"/>
      <c r="O77" s="184">
        <f>SUM(O75:O76)</f>
        <v>804860</v>
      </c>
      <c r="P77" s="155" t="s">
        <v>6</v>
      </c>
      <c r="Q77" s="141"/>
      <c r="R77" s="138"/>
      <c r="S77" s="138"/>
      <c r="T77" s="143"/>
      <c r="U77"/>
    </row>
    <row r="78" spans="1:21" ht="24" customHeight="1">
      <c r="A78" s="16">
        <v>43</v>
      </c>
      <c r="B78" s="68">
        <v>156</v>
      </c>
      <c r="C78" s="18" t="s">
        <v>1</v>
      </c>
      <c r="D78" s="41">
        <v>401</v>
      </c>
      <c r="E78" s="68">
        <v>156</v>
      </c>
      <c r="F78" s="18" t="s">
        <v>1</v>
      </c>
      <c r="G78" s="30">
        <v>385.2</v>
      </c>
      <c r="H78" s="38"/>
      <c r="I78" s="22">
        <v>12500</v>
      </c>
      <c r="J78" s="23"/>
      <c r="K78" s="24"/>
      <c r="L78" s="25">
        <f t="shared" ref="L78:L148" si="7">IF(G78-D78&gt;0,"",G78-D78)</f>
        <v>-15.800000000000011</v>
      </c>
      <c r="M78" s="157">
        <v>-197500</v>
      </c>
      <c r="N78" s="180"/>
      <c r="O78" s="182">
        <f>M78</f>
        <v>-197500</v>
      </c>
      <c r="P78" s="154"/>
      <c r="Q78" s="42" t="s">
        <v>294</v>
      </c>
      <c r="R78" s="27"/>
      <c r="S78" s="27"/>
      <c r="T78" s="43"/>
    </row>
    <row r="79" spans="1:21" ht="24" customHeight="1">
      <c r="A79" s="16">
        <v>44</v>
      </c>
      <c r="B79" s="68">
        <v>240</v>
      </c>
      <c r="C79" s="18" t="s">
        <v>164</v>
      </c>
      <c r="D79" s="41">
        <v>1772</v>
      </c>
      <c r="E79" s="68">
        <v>240</v>
      </c>
      <c r="F79" s="18" t="s">
        <v>164</v>
      </c>
      <c r="G79" s="30">
        <v>1749.2</v>
      </c>
      <c r="H79" s="38"/>
      <c r="I79" s="22">
        <v>7890</v>
      </c>
      <c r="J79" s="23"/>
      <c r="K79" s="24"/>
      <c r="L79" s="25">
        <f t="shared" si="7"/>
        <v>-22.799999999999955</v>
      </c>
      <c r="M79" s="157">
        <f>ROUNDDOWN((-179892),-1)</f>
        <v>-179890</v>
      </c>
      <c r="N79" s="180"/>
      <c r="O79" s="182">
        <f>M79</f>
        <v>-179890</v>
      </c>
      <c r="P79" s="154"/>
      <c r="Q79" s="42" t="s">
        <v>294</v>
      </c>
      <c r="R79" s="27"/>
      <c r="S79" s="27"/>
      <c r="T79" s="43"/>
    </row>
    <row r="80" spans="1:21" s="4" customFormat="1" ht="24" customHeight="1">
      <c r="A80" s="127" t="s">
        <v>271</v>
      </c>
      <c r="B80" s="127"/>
      <c r="C80" s="117"/>
      <c r="D80" s="128">
        <f>SUM(D78:D79)</f>
        <v>2173</v>
      </c>
      <c r="E80" s="127"/>
      <c r="F80" s="117"/>
      <c r="G80" s="124">
        <f>SUM(G78:G79)</f>
        <v>2134.4</v>
      </c>
      <c r="H80" s="134"/>
      <c r="I80" s="135"/>
      <c r="J80" s="147"/>
      <c r="K80" s="145"/>
      <c r="L80" s="146">
        <f>SUM(L78:L79)</f>
        <v>-38.599999999999966</v>
      </c>
      <c r="M80" s="158">
        <f>SUM(M78:M79)</f>
        <v>-377390</v>
      </c>
      <c r="N80" s="158"/>
      <c r="O80" s="184">
        <f>SUM(O78:O79)</f>
        <v>-377390</v>
      </c>
      <c r="P80" s="155" t="s">
        <v>6</v>
      </c>
      <c r="Q80" s="141"/>
      <c r="R80" s="138"/>
      <c r="S80" s="138"/>
      <c r="T80" s="143"/>
      <c r="U80"/>
    </row>
    <row r="81" spans="1:21" ht="24" customHeight="1">
      <c r="A81" s="16">
        <v>45</v>
      </c>
      <c r="B81" s="40" t="s">
        <v>194</v>
      </c>
      <c r="C81" s="18" t="s">
        <v>195</v>
      </c>
      <c r="D81" s="41">
        <v>1601</v>
      </c>
      <c r="E81" s="40" t="s">
        <v>194</v>
      </c>
      <c r="F81" s="18" t="s">
        <v>195</v>
      </c>
      <c r="G81" s="30">
        <v>1656.8</v>
      </c>
      <c r="H81" s="38"/>
      <c r="I81" s="22">
        <v>9880</v>
      </c>
      <c r="J81" s="23">
        <f t="shared" ref="J81:J93" si="8">G81-D81</f>
        <v>55.799999999999955</v>
      </c>
      <c r="K81" s="24">
        <f>ROUNDDOWN((I81*J81),-1)</f>
        <v>551300</v>
      </c>
      <c r="L81" s="25" t="str">
        <f t="shared" si="7"/>
        <v/>
      </c>
      <c r="M81" s="157" t="s">
        <v>273</v>
      </c>
      <c r="N81" s="180"/>
      <c r="O81" s="182">
        <f>K81</f>
        <v>551300</v>
      </c>
      <c r="P81" s="154"/>
      <c r="Q81" s="42" t="s">
        <v>295</v>
      </c>
      <c r="R81" s="27"/>
      <c r="S81" s="27"/>
      <c r="T81" s="43"/>
    </row>
    <row r="82" spans="1:21" ht="24" customHeight="1">
      <c r="A82" s="16">
        <v>46</v>
      </c>
      <c r="B82" s="40" t="s">
        <v>196</v>
      </c>
      <c r="C82" s="18" t="s">
        <v>197</v>
      </c>
      <c r="D82" s="41">
        <v>64</v>
      </c>
      <c r="E82" s="40" t="s">
        <v>196</v>
      </c>
      <c r="F82" s="18" t="s">
        <v>197</v>
      </c>
      <c r="G82" s="30">
        <v>82.4</v>
      </c>
      <c r="H82" s="38"/>
      <c r="I82" s="22">
        <v>9880</v>
      </c>
      <c r="J82" s="23">
        <f t="shared" si="8"/>
        <v>18.400000000000006</v>
      </c>
      <c r="K82" s="24">
        <f>ROUNDDOWN((I82*J82),-1)</f>
        <v>181790</v>
      </c>
      <c r="L82" s="25" t="str">
        <f t="shared" si="7"/>
        <v/>
      </c>
      <c r="M82" s="157" t="s">
        <v>273</v>
      </c>
      <c r="N82" s="180"/>
      <c r="O82" s="182">
        <f>K82</f>
        <v>181790</v>
      </c>
      <c r="P82" s="154"/>
      <c r="Q82" s="42" t="s">
        <v>295</v>
      </c>
      <c r="R82" s="27"/>
      <c r="S82" s="27"/>
      <c r="T82" s="43"/>
    </row>
    <row r="83" spans="1:21" s="4" customFormat="1" ht="24" customHeight="1">
      <c r="A83" s="127" t="s">
        <v>271</v>
      </c>
      <c r="B83" s="127"/>
      <c r="C83" s="117"/>
      <c r="D83" s="128">
        <f>SUM(D81:D82)</f>
        <v>1665</v>
      </c>
      <c r="E83" s="127"/>
      <c r="F83" s="117"/>
      <c r="G83" s="124">
        <f>SUM(G81:G82)</f>
        <v>1739.2</v>
      </c>
      <c r="H83" s="134"/>
      <c r="I83" s="135"/>
      <c r="J83" s="147">
        <f>SUM(J81:J82)</f>
        <v>74.19999999999996</v>
      </c>
      <c r="K83" s="145">
        <f>SUM(K81:K82)</f>
        <v>733090</v>
      </c>
      <c r="L83" s="146"/>
      <c r="M83" s="158"/>
      <c r="N83" s="158"/>
      <c r="O83" s="184">
        <f>SUM(O81:O82)</f>
        <v>733090</v>
      </c>
      <c r="P83" s="155" t="s">
        <v>6</v>
      </c>
      <c r="Q83" s="141"/>
      <c r="R83" s="138"/>
      <c r="S83" s="138"/>
      <c r="T83" s="143"/>
      <c r="U83"/>
    </row>
    <row r="84" spans="1:21" ht="24" customHeight="1">
      <c r="A84" s="16">
        <v>47</v>
      </c>
      <c r="B84" s="40" t="s">
        <v>198</v>
      </c>
      <c r="C84" s="18" t="s">
        <v>164</v>
      </c>
      <c r="D84" s="41">
        <v>2083</v>
      </c>
      <c r="E84" s="40" t="s">
        <v>198</v>
      </c>
      <c r="F84" s="18" t="s">
        <v>164</v>
      </c>
      <c r="G84" s="30">
        <v>2219</v>
      </c>
      <c r="H84" s="38"/>
      <c r="I84" s="22">
        <v>9320</v>
      </c>
      <c r="J84" s="23">
        <f t="shared" si="8"/>
        <v>136</v>
      </c>
      <c r="K84" s="24">
        <f>ROUNDDOWN((I84*J84),-1)</f>
        <v>1267520</v>
      </c>
      <c r="L84" s="25" t="str">
        <f t="shared" si="7"/>
        <v/>
      </c>
      <c r="M84" s="157" t="s">
        <v>273</v>
      </c>
      <c r="N84" s="180"/>
      <c r="O84" s="182">
        <f>K84</f>
        <v>1267520</v>
      </c>
      <c r="P84" s="154"/>
      <c r="Q84" s="42" t="s">
        <v>296</v>
      </c>
      <c r="R84" s="27"/>
      <c r="S84" s="27"/>
      <c r="T84" s="43"/>
    </row>
    <row r="85" spans="1:21" ht="24" customHeight="1">
      <c r="A85" s="16">
        <v>48</v>
      </c>
      <c r="B85" s="40" t="s">
        <v>199</v>
      </c>
      <c r="C85" s="18" t="s">
        <v>164</v>
      </c>
      <c r="D85" s="41">
        <v>1587</v>
      </c>
      <c r="E85" s="40" t="s">
        <v>199</v>
      </c>
      <c r="F85" s="18" t="s">
        <v>164</v>
      </c>
      <c r="G85" s="30">
        <v>1541</v>
      </c>
      <c r="H85" s="38"/>
      <c r="I85" s="22">
        <v>7650</v>
      </c>
      <c r="J85" s="23"/>
      <c r="K85" s="24"/>
      <c r="L85" s="25">
        <f t="shared" si="7"/>
        <v>-46</v>
      </c>
      <c r="M85" s="157">
        <v>-351900</v>
      </c>
      <c r="N85" s="180"/>
      <c r="O85" s="182">
        <f>M85</f>
        <v>-351900</v>
      </c>
      <c r="P85" s="154"/>
      <c r="Q85" s="42" t="s">
        <v>296</v>
      </c>
      <c r="R85" s="27"/>
      <c r="S85" s="27"/>
      <c r="T85" s="27"/>
    </row>
    <row r="86" spans="1:21" s="4" customFormat="1" ht="24" customHeight="1">
      <c r="A86" s="127" t="s">
        <v>271</v>
      </c>
      <c r="B86" s="127"/>
      <c r="C86" s="117"/>
      <c r="D86" s="128">
        <f>SUM(D84:D85)</f>
        <v>3670</v>
      </c>
      <c r="E86" s="127"/>
      <c r="F86" s="117"/>
      <c r="G86" s="124">
        <f>SUM(G84:G85)</f>
        <v>3760</v>
      </c>
      <c r="H86" s="134"/>
      <c r="I86" s="135"/>
      <c r="J86" s="147">
        <f>SUM(J84:J85)</f>
        <v>136</v>
      </c>
      <c r="K86" s="145">
        <f>SUM(K84:K85)</f>
        <v>1267520</v>
      </c>
      <c r="L86" s="146">
        <f>SUM(L84:L85)</f>
        <v>-46</v>
      </c>
      <c r="M86" s="158">
        <f>SUM(M84:M85)</f>
        <v>-351900</v>
      </c>
      <c r="N86" s="158"/>
      <c r="O86" s="184">
        <f>SUM(O84:O85)</f>
        <v>915620</v>
      </c>
      <c r="P86" s="155" t="s">
        <v>6</v>
      </c>
      <c r="Q86" s="141"/>
      <c r="R86" s="138"/>
      <c r="S86" s="138"/>
      <c r="T86" s="143"/>
      <c r="U86"/>
    </row>
    <row r="87" spans="1:21" ht="24" customHeight="1">
      <c r="A87" s="16">
        <v>49</v>
      </c>
      <c r="B87" s="40">
        <v>178</v>
      </c>
      <c r="C87" s="18" t="s">
        <v>195</v>
      </c>
      <c r="D87" s="41">
        <v>655</v>
      </c>
      <c r="E87" s="40">
        <v>178</v>
      </c>
      <c r="F87" s="18" t="s">
        <v>195</v>
      </c>
      <c r="G87" s="30">
        <v>705</v>
      </c>
      <c r="H87" s="38"/>
      <c r="I87" s="22">
        <v>6200</v>
      </c>
      <c r="J87" s="23">
        <f t="shared" si="8"/>
        <v>50</v>
      </c>
      <c r="K87" s="24">
        <f>ROUNDDOWN((I87*J87),-1)</f>
        <v>310000</v>
      </c>
      <c r="L87" s="25" t="str">
        <f t="shared" si="7"/>
        <v/>
      </c>
      <c r="M87" s="157" t="s">
        <v>273</v>
      </c>
      <c r="N87" s="180"/>
      <c r="O87" s="182">
        <f>K87</f>
        <v>310000</v>
      </c>
      <c r="P87" s="154"/>
      <c r="Q87" s="42" t="s">
        <v>297</v>
      </c>
      <c r="R87" s="27"/>
      <c r="S87" s="27"/>
      <c r="T87" s="27"/>
    </row>
    <row r="88" spans="1:21" ht="24" customHeight="1">
      <c r="A88" s="16">
        <v>50</v>
      </c>
      <c r="B88" s="40">
        <v>220</v>
      </c>
      <c r="C88" s="18" t="s">
        <v>164</v>
      </c>
      <c r="D88" s="41">
        <v>1124</v>
      </c>
      <c r="E88" s="40">
        <v>220</v>
      </c>
      <c r="F88" s="18" t="s">
        <v>164</v>
      </c>
      <c r="G88" s="30">
        <v>1255.0999999999999</v>
      </c>
      <c r="H88" s="38"/>
      <c r="I88" s="22">
        <v>7890</v>
      </c>
      <c r="J88" s="23">
        <f t="shared" si="8"/>
        <v>131.09999999999991</v>
      </c>
      <c r="K88" s="24">
        <f>ROUNDDOWN((I88*J88),-1)</f>
        <v>1034370</v>
      </c>
      <c r="L88" s="25" t="str">
        <f t="shared" si="7"/>
        <v/>
      </c>
      <c r="M88" s="157" t="s">
        <v>273</v>
      </c>
      <c r="N88" s="180"/>
      <c r="O88" s="182">
        <f>K88</f>
        <v>1034370</v>
      </c>
      <c r="P88" s="154"/>
      <c r="Q88" s="42" t="s">
        <v>297</v>
      </c>
      <c r="R88" s="27"/>
      <c r="S88" s="27"/>
      <c r="T88" s="27"/>
    </row>
    <row r="89" spans="1:21" s="4" customFormat="1" ht="24" customHeight="1">
      <c r="A89" s="127" t="s">
        <v>271</v>
      </c>
      <c r="B89" s="127"/>
      <c r="C89" s="117"/>
      <c r="D89" s="128">
        <f>SUM(D87:D88)</f>
        <v>1779</v>
      </c>
      <c r="E89" s="127"/>
      <c r="F89" s="117"/>
      <c r="G89" s="124">
        <f>SUM(G87:G88)</f>
        <v>1960.1</v>
      </c>
      <c r="H89" s="134"/>
      <c r="I89" s="135"/>
      <c r="J89" s="147">
        <f>SUM(J87:J88)</f>
        <v>181.09999999999991</v>
      </c>
      <c r="K89" s="145">
        <f>SUM(K87:K88)</f>
        <v>1344370</v>
      </c>
      <c r="L89" s="146"/>
      <c r="M89" s="158"/>
      <c r="N89" s="158"/>
      <c r="O89" s="184">
        <f>SUM(O87:O88)</f>
        <v>1344370</v>
      </c>
      <c r="P89" s="155" t="s">
        <v>6</v>
      </c>
      <c r="Q89" s="141"/>
      <c r="R89" s="138"/>
      <c r="S89" s="138"/>
      <c r="T89" s="143"/>
      <c r="U89"/>
    </row>
    <row r="90" spans="1:21" ht="24" customHeight="1">
      <c r="A90" s="16">
        <v>51</v>
      </c>
      <c r="B90" s="58" t="s">
        <v>200</v>
      </c>
      <c r="C90" s="18" t="s">
        <v>164</v>
      </c>
      <c r="D90" s="37">
        <v>1435</v>
      </c>
      <c r="E90" s="58" t="str">
        <f>B90</f>
        <v>93-3</v>
      </c>
      <c r="F90" s="18" t="s">
        <v>164</v>
      </c>
      <c r="G90" s="30">
        <v>1577.9</v>
      </c>
      <c r="H90" s="38"/>
      <c r="I90" s="22">
        <v>7920</v>
      </c>
      <c r="J90" s="23">
        <f t="shared" si="8"/>
        <v>142.90000000000009</v>
      </c>
      <c r="K90" s="24">
        <f>ROUNDDOWN((I90*J90),-1)</f>
        <v>1131760</v>
      </c>
      <c r="L90" s="25" t="str">
        <f t="shared" si="7"/>
        <v/>
      </c>
      <c r="M90" s="157" t="s">
        <v>273</v>
      </c>
      <c r="N90" s="180"/>
      <c r="O90" s="182">
        <f>K90</f>
        <v>1131760</v>
      </c>
      <c r="P90" s="154"/>
      <c r="Q90" s="39" t="s">
        <v>298</v>
      </c>
      <c r="R90" s="27"/>
      <c r="S90" s="27"/>
      <c r="T90" s="27"/>
    </row>
    <row r="91" spans="1:21" ht="24" customHeight="1">
      <c r="A91" s="16">
        <v>52</v>
      </c>
      <c r="B91" s="36">
        <v>205</v>
      </c>
      <c r="C91" s="18" t="s">
        <v>195</v>
      </c>
      <c r="D91" s="37">
        <v>1250</v>
      </c>
      <c r="E91" s="58">
        <f>B91</f>
        <v>205</v>
      </c>
      <c r="F91" s="18" t="s">
        <v>195</v>
      </c>
      <c r="G91" s="30">
        <v>1322.2</v>
      </c>
      <c r="H91" s="38"/>
      <c r="I91" s="22">
        <v>7650</v>
      </c>
      <c r="J91" s="23">
        <f t="shared" si="8"/>
        <v>72.200000000000045</v>
      </c>
      <c r="K91" s="24">
        <f>ROUNDDOWN((I91*J91),-1)</f>
        <v>552330</v>
      </c>
      <c r="L91" s="25" t="str">
        <f t="shared" si="7"/>
        <v/>
      </c>
      <c r="M91" s="157" t="s">
        <v>273</v>
      </c>
      <c r="N91" s="180"/>
      <c r="O91" s="182">
        <f>K91</f>
        <v>552330</v>
      </c>
      <c r="P91" s="154"/>
      <c r="Q91" s="39" t="s">
        <v>298</v>
      </c>
      <c r="R91" s="27"/>
      <c r="S91" s="27"/>
      <c r="T91" s="27"/>
    </row>
    <row r="92" spans="1:21" s="4" customFormat="1" ht="24" customHeight="1">
      <c r="A92" s="127" t="s">
        <v>271</v>
      </c>
      <c r="B92" s="127" t="s">
        <v>271</v>
      </c>
      <c r="C92" s="117"/>
      <c r="D92" s="128">
        <f>SUM(D90:D91)</f>
        <v>2685</v>
      </c>
      <c r="E92" s="127"/>
      <c r="F92" s="117"/>
      <c r="G92" s="124">
        <f>SUM(G90:G91)</f>
        <v>2900.1000000000004</v>
      </c>
      <c r="H92" s="134"/>
      <c r="I92" s="135"/>
      <c r="J92" s="147">
        <f>SUM(J90:J91)</f>
        <v>215.10000000000014</v>
      </c>
      <c r="K92" s="145">
        <f>SUM(K90:K91)</f>
        <v>1684090</v>
      </c>
      <c r="L92" s="146"/>
      <c r="M92" s="158"/>
      <c r="N92" s="158"/>
      <c r="O92" s="184">
        <f>SUM(O90:O91)</f>
        <v>1684090</v>
      </c>
      <c r="P92" s="155" t="s">
        <v>6</v>
      </c>
      <c r="Q92" s="141"/>
      <c r="R92" s="138"/>
      <c r="S92" s="138"/>
      <c r="T92" s="143"/>
      <c r="U92"/>
    </row>
    <row r="93" spans="1:21" s="4" customFormat="1" ht="24" customHeight="1">
      <c r="A93" s="16">
        <v>53</v>
      </c>
      <c r="B93" s="36">
        <v>76</v>
      </c>
      <c r="C93" s="18" t="s">
        <v>195</v>
      </c>
      <c r="D93" s="37">
        <v>5407</v>
      </c>
      <c r="E93" s="36">
        <v>76</v>
      </c>
      <c r="F93" s="18" t="s">
        <v>195</v>
      </c>
      <c r="G93" s="30">
        <v>5518.8</v>
      </c>
      <c r="H93" s="38"/>
      <c r="I93" s="22">
        <v>8400</v>
      </c>
      <c r="J93" s="23">
        <f t="shared" si="8"/>
        <v>111.80000000000018</v>
      </c>
      <c r="K93" s="24">
        <f>ROUNDDOWN((I93*J93),-1)</f>
        <v>939120</v>
      </c>
      <c r="L93" s="25" t="str">
        <f t="shared" si="7"/>
        <v/>
      </c>
      <c r="M93" s="157" t="s">
        <v>273</v>
      </c>
      <c r="N93" s="180"/>
      <c r="O93" s="182">
        <f>K93</f>
        <v>939120</v>
      </c>
      <c r="P93" s="154"/>
      <c r="Q93" s="39" t="s">
        <v>299</v>
      </c>
      <c r="R93" s="27"/>
      <c r="S93" s="27"/>
      <c r="T93" s="27"/>
      <c r="U93"/>
    </row>
    <row r="94" spans="1:21" ht="24" customHeight="1">
      <c r="A94" s="16">
        <v>54</v>
      </c>
      <c r="B94" s="36" t="s">
        <v>201</v>
      </c>
      <c r="C94" s="18" t="s">
        <v>202</v>
      </c>
      <c r="D94" s="37">
        <v>425</v>
      </c>
      <c r="E94" s="36" t="s">
        <v>201</v>
      </c>
      <c r="F94" s="18" t="s">
        <v>202</v>
      </c>
      <c r="G94" s="30">
        <v>418.8</v>
      </c>
      <c r="H94" s="38"/>
      <c r="I94" s="22">
        <v>11200</v>
      </c>
      <c r="J94" s="23"/>
      <c r="K94" s="24"/>
      <c r="L94" s="25">
        <f t="shared" si="7"/>
        <v>-6.1999999999999886</v>
      </c>
      <c r="M94" s="157">
        <v>-69439.999999999869</v>
      </c>
      <c r="N94" s="180"/>
      <c r="O94" s="182">
        <f>M94</f>
        <v>-69439.999999999869</v>
      </c>
      <c r="P94" s="154"/>
      <c r="Q94" s="39" t="s">
        <v>299</v>
      </c>
      <c r="R94" s="27"/>
      <c r="S94" s="27"/>
      <c r="T94" s="27"/>
    </row>
    <row r="95" spans="1:21" ht="24" customHeight="1">
      <c r="A95" s="16">
        <v>55</v>
      </c>
      <c r="B95" s="36" t="s">
        <v>203</v>
      </c>
      <c r="C95" s="18" t="s">
        <v>195</v>
      </c>
      <c r="D95" s="37">
        <v>1745</v>
      </c>
      <c r="E95" s="36" t="s">
        <v>203</v>
      </c>
      <c r="F95" s="18" t="s">
        <v>195</v>
      </c>
      <c r="G95" s="30">
        <v>1725</v>
      </c>
      <c r="H95" s="38"/>
      <c r="I95" s="22">
        <v>7890</v>
      </c>
      <c r="J95" s="23"/>
      <c r="K95" s="24"/>
      <c r="L95" s="25">
        <f t="shared" si="7"/>
        <v>-20</v>
      </c>
      <c r="M95" s="157">
        <v>-157800</v>
      </c>
      <c r="N95" s="180"/>
      <c r="O95" s="182">
        <f>M95</f>
        <v>-157800</v>
      </c>
      <c r="P95" s="154"/>
      <c r="Q95" s="39" t="s">
        <v>299</v>
      </c>
      <c r="R95" s="27"/>
      <c r="S95" s="27"/>
      <c r="T95" s="27"/>
    </row>
    <row r="96" spans="1:21" s="4" customFormat="1" ht="24" customHeight="1">
      <c r="A96" s="127" t="s">
        <v>271</v>
      </c>
      <c r="B96" s="127"/>
      <c r="C96" s="117"/>
      <c r="D96" s="128">
        <f>SUM(D93:D95)</f>
        <v>7577</v>
      </c>
      <c r="E96" s="127"/>
      <c r="F96" s="117"/>
      <c r="G96" s="124">
        <f>SUM(G93:G95)</f>
        <v>7662.6</v>
      </c>
      <c r="H96" s="134"/>
      <c r="I96" s="135"/>
      <c r="J96" s="147">
        <f>SUM(J93:J95)</f>
        <v>111.80000000000018</v>
      </c>
      <c r="K96" s="145">
        <f>SUM(K93:K95)</f>
        <v>939120</v>
      </c>
      <c r="L96" s="146">
        <f>SUM(L93:L95)</f>
        <v>-26.199999999999989</v>
      </c>
      <c r="M96" s="158">
        <f>SUM(M93:M95)</f>
        <v>-227239.99999999988</v>
      </c>
      <c r="N96" s="158"/>
      <c r="O96" s="184">
        <f>SUM(O93:O95)</f>
        <v>711880.00000000012</v>
      </c>
      <c r="P96" s="155" t="s">
        <v>6</v>
      </c>
      <c r="Q96" s="141"/>
      <c r="R96" s="138"/>
      <c r="S96" s="138"/>
      <c r="T96" s="143"/>
      <c r="U96"/>
    </row>
    <row r="97" spans="1:21" ht="24" customHeight="1">
      <c r="A97" s="16">
        <v>56</v>
      </c>
      <c r="B97" s="36">
        <v>78</v>
      </c>
      <c r="C97" s="18" t="s">
        <v>164</v>
      </c>
      <c r="D97" s="37">
        <v>1319</v>
      </c>
      <c r="E97" s="36">
        <f>B97</f>
        <v>78</v>
      </c>
      <c r="F97" s="18" t="str">
        <f>C97</f>
        <v>전</v>
      </c>
      <c r="G97" s="30">
        <v>1187.5</v>
      </c>
      <c r="H97" s="38"/>
      <c r="I97" s="22">
        <v>8800</v>
      </c>
      <c r="J97" s="23"/>
      <c r="K97" s="24"/>
      <c r="L97" s="25">
        <f t="shared" si="7"/>
        <v>-131.5</v>
      </c>
      <c r="M97" s="156">
        <v>-1157200</v>
      </c>
      <c r="N97" s="181"/>
      <c r="O97" s="182">
        <f>M97</f>
        <v>-1157200</v>
      </c>
      <c r="P97" s="154"/>
      <c r="Q97" s="39" t="s">
        <v>300</v>
      </c>
      <c r="R97" s="27"/>
      <c r="S97" s="27"/>
      <c r="T97" s="27"/>
    </row>
    <row r="98" spans="1:21" ht="24" customHeight="1">
      <c r="A98" s="16">
        <v>57</v>
      </c>
      <c r="B98" s="36" t="s">
        <v>204</v>
      </c>
      <c r="C98" s="18" t="s">
        <v>1</v>
      </c>
      <c r="D98" s="37">
        <v>268</v>
      </c>
      <c r="E98" s="36" t="str">
        <f t="shared" ref="E98:E205" si="9">B98</f>
        <v>157-2</v>
      </c>
      <c r="F98" s="18" t="str">
        <f t="shared" ref="F98:F205" si="10">C98</f>
        <v>대</v>
      </c>
      <c r="G98" s="30">
        <v>334.7</v>
      </c>
      <c r="H98" s="38"/>
      <c r="I98" s="22">
        <v>12500</v>
      </c>
      <c r="J98" s="23">
        <f>G98-D98</f>
        <v>66.699999999999989</v>
      </c>
      <c r="K98" s="24">
        <f>ROUNDDOWN((I98*J98),-1)</f>
        <v>833750</v>
      </c>
      <c r="L98" s="25" t="str">
        <f t="shared" si="7"/>
        <v/>
      </c>
      <c r="M98" s="157" t="s">
        <v>273</v>
      </c>
      <c r="N98" s="180"/>
      <c r="O98" s="182">
        <f>K98</f>
        <v>833750</v>
      </c>
      <c r="P98" s="154"/>
      <c r="Q98" s="39" t="s">
        <v>300</v>
      </c>
      <c r="R98" s="27"/>
      <c r="S98" s="27"/>
      <c r="T98" s="27"/>
    </row>
    <row r="99" spans="1:21" ht="24" customHeight="1">
      <c r="A99" s="16">
        <v>58</v>
      </c>
      <c r="B99" s="36" t="s">
        <v>205</v>
      </c>
      <c r="C99" s="18" t="s">
        <v>1</v>
      </c>
      <c r="D99" s="37">
        <v>317</v>
      </c>
      <c r="E99" s="36" t="str">
        <f t="shared" si="9"/>
        <v>157-3</v>
      </c>
      <c r="F99" s="18" t="str">
        <f t="shared" si="10"/>
        <v>대</v>
      </c>
      <c r="G99" s="30">
        <v>294.7</v>
      </c>
      <c r="H99" s="38"/>
      <c r="I99" s="22">
        <v>12500</v>
      </c>
      <c r="J99" s="23"/>
      <c r="K99" s="24"/>
      <c r="L99" s="25">
        <f t="shared" si="7"/>
        <v>-22.300000000000011</v>
      </c>
      <c r="M99" s="157">
        <v>-278750</v>
      </c>
      <c r="N99" s="180"/>
      <c r="O99" s="182">
        <f>M99</f>
        <v>-278750</v>
      </c>
      <c r="P99" s="154"/>
      <c r="Q99" s="39" t="s">
        <v>300</v>
      </c>
      <c r="R99" s="27"/>
      <c r="S99" s="27"/>
      <c r="T99" s="27"/>
    </row>
    <row r="100" spans="1:21" ht="24" customHeight="1">
      <c r="A100" s="16">
        <v>59</v>
      </c>
      <c r="B100" s="36">
        <v>251</v>
      </c>
      <c r="C100" s="18" t="s">
        <v>195</v>
      </c>
      <c r="D100" s="37">
        <v>1038</v>
      </c>
      <c r="E100" s="36">
        <f t="shared" si="9"/>
        <v>251</v>
      </c>
      <c r="F100" s="18" t="str">
        <f t="shared" si="10"/>
        <v>답</v>
      </c>
      <c r="G100" s="30">
        <v>968.7</v>
      </c>
      <c r="H100" s="38"/>
      <c r="I100" s="22">
        <v>7890</v>
      </c>
      <c r="J100" s="23"/>
      <c r="K100" s="24"/>
      <c r="L100" s="25">
        <f t="shared" si="7"/>
        <v>-69.299999999999955</v>
      </c>
      <c r="M100" s="157">
        <f>ROUNDDOWN((-546777),-1)</f>
        <v>-546770</v>
      </c>
      <c r="N100" s="180"/>
      <c r="O100" s="182">
        <f>M100</f>
        <v>-546770</v>
      </c>
      <c r="P100" s="154"/>
      <c r="Q100" s="39" t="s">
        <v>300</v>
      </c>
      <c r="R100" s="27"/>
      <c r="S100" s="27"/>
      <c r="T100" s="27"/>
    </row>
    <row r="101" spans="1:21" s="4" customFormat="1" ht="24" customHeight="1">
      <c r="A101" s="127" t="s">
        <v>271</v>
      </c>
      <c r="B101" s="127"/>
      <c r="C101" s="117"/>
      <c r="D101" s="128">
        <f>SUM(D97:D100)</f>
        <v>2942</v>
      </c>
      <c r="E101" s="127"/>
      <c r="F101" s="117"/>
      <c r="G101" s="124">
        <f>SUM(G97:G100)</f>
        <v>2785.6000000000004</v>
      </c>
      <c r="H101" s="134"/>
      <c r="I101" s="135"/>
      <c r="J101" s="147">
        <f>SUM(J97:J100)</f>
        <v>66.699999999999989</v>
      </c>
      <c r="K101" s="145">
        <f>SUM(K97:K100)</f>
        <v>833750</v>
      </c>
      <c r="L101" s="152">
        <f>SUM(L97:L100)</f>
        <v>-223.09999999999997</v>
      </c>
      <c r="M101" s="189">
        <f>SUM(M97:M100)</f>
        <v>-1982720</v>
      </c>
      <c r="N101" s="158"/>
      <c r="O101" s="184">
        <f>SUM(O97:O100)</f>
        <v>-1148970</v>
      </c>
      <c r="P101" s="155" t="s">
        <v>6</v>
      </c>
      <c r="Q101" s="141"/>
      <c r="R101" s="138"/>
      <c r="S101" s="138"/>
      <c r="T101" s="143"/>
      <c r="U101"/>
    </row>
    <row r="102" spans="1:21" ht="24" customHeight="1">
      <c r="A102" s="16">
        <v>60</v>
      </c>
      <c r="B102" s="36">
        <v>168</v>
      </c>
      <c r="C102" s="18" t="s">
        <v>1</v>
      </c>
      <c r="D102" s="37">
        <v>806</v>
      </c>
      <c r="E102" s="36">
        <f t="shared" si="9"/>
        <v>168</v>
      </c>
      <c r="F102" s="18" t="str">
        <f t="shared" si="10"/>
        <v>대</v>
      </c>
      <c r="G102" s="30">
        <v>737.1</v>
      </c>
      <c r="H102" s="38"/>
      <c r="I102" s="22">
        <v>12500</v>
      </c>
      <c r="J102" s="23"/>
      <c r="K102" s="24"/>
      <c r="L102" s="25">
        <f t="shared" si="7"/>
        <v>-68.899999999999977</v>
      </c>
      <c r="M102" s="157">
        <v>-861250</v>
      </c>
      <c r="N102" s="180"/>
      <c r="O102" s="182">
        <f>M102</f>
        <v>-861250</v>
      </c>
      <c r="P102" s="154"/>
      <c r="Q102" s="39" t="s">
        <v>301</v>
      </c>
      <c r="R102" s="27"/>
      <c r="S102" s="27"/>
      <c r="T102" s="27"/>
    </row>
    <row r="103" spans="1:21" ht="24" customHeight="1">
      <c r="A103" s="16">
        <v>61</v>
      </c>
      <c r="B103" s="36">
        <v>194</v>
      </c>
      <c r="C103" s="18" t="s">
        <v>164</v>
      </c>
      <c r="D103" s="37">
        <v>969</v>
      </c>
      <c r="E103" s="36">
        <v>194</v>
      </c>
      <c r="F103" s="18" t="s">
        <v>164</v>
      </c>
      <c r="G103" s="30">
        <v>1039.3</v>
      </c>
      <c r="H103" s="38"/>
      <c r="I103" s="22">
        <v>7650</v>
      </c>
      <c r="J103" s="23">
        <f>G103-D103</f>
        <v>70.299999999999955</v>
      </c>
      <c r="K103" s="24">
        <f>ROUNDDOWN((I103*J103),-1)</f>
        <v>537790</v>
      </c>
      <c r="L103" s="25" t="str">
        <f t="shared" si="7"/>
        <v/>
      </c>
      <c r="M103" s="157" t="s">
        <v>273</v>
      </c>
      <c r="N103" s="180"/>
      <c r="O103" s="182">
        <f>K103</f>
        <v>537790</v>
      </c>
      <c r="P103" s="154"/>
      <c r="Q103" s="39" t="s">
        <v>301</v>
      </c>
      <c r="R103" s="27"/>
      <c r="S103" s="27"/>
      <c r="T103" s="27"/>
    </row>
    <row r="104" spans="1:21" s="4" customFormat="1" ht="24" customHeight="1">
      <c r="A104" s="127" t="s">
        <v>271</v>
      </c>
      <c r="B104" s="127"/>
      <c r="C104" s="117"/>
      <c r="D104" s="128">
        <f>SUM(D102:D103)</f>
        <v>1775</v>
      </c>
      <c r="E104" s="127"/>
      <c r="F104" s="117"/>
      <c r="G104" s="124">
        <f>SUM(G102:G103)</f>
        <v>1776.4</v>
      </c>
      <c r="H104" s="134"/>
      <c r="I104" s="135"/>
      <c r="J104" s="147">
        <f>SUM(J102:J103)</f>
        <v>70.299999999999955</v>
      </c>
      <c r="K104" s="145">
        <f>SUM(K102:K103)</f>
        <v>537790</v>
      </c>
      <c r="L104" s="146">
        <f>SUM(L102:L103)</f>
        <v>-68.899999999999977</v>
      </c>
      <c r="M104" s="158">
        <f>SUM(M102:M103)</f>
        <v>-861250</v>
      </c>
      <c r="N104" s="158"/>
      <c r="O104" s="184">
        <f>SUM(O102:O103)</f>
        <v>-323460</v>
      </c>
      <c r="P104" s="155" t="s">
        <v>6</v>
      </c>
      <c r="Q104" s="141"/>
      <c r="R104" s="138"/>
      <c r="S104" s="138"/>
      <c r="T104" s="143"/>
      <c r="U104"/>
    </row>
    <row r="105" spans="1:21" ht="24" customHeight="1">
      <c r="A105" s="16">
        <v>62</v>
      </c>
      <c r="B105" s="44" t="s">
        <v>206</v>
      </c>
      <c r="C105" s="18" t="s">
        <v>195</v>
      </c>
      <c r="D105" s="59">
        <v>919</v>
      </c>
      <c r="E105" s="36" t="str">
        <f t="shared" si="9"/>
        <v>405-1</v>
      </c>
      <c r="F105" s="18" t="str">
        <f t="shared" si="10"/>
        <v>답</v>
      </c>
      <c r="G105" s="60">
        <v>678</v>
      </c>
      <c r="H105" s="38"/>
      <c r="I105" s="22">
        <v>8610</v>
      </c>
      <c r="J105" s="23"/>
      <c r="K105" s="24"/>
      <c r="L105" s="25">
        <f t="shared" si="7"/>
        <v>-241</v>
      </c>
      <c r="M105" s="156">
        <v>-2075010</v>
      </c>
      <c r="N105" s="181"/>
      <c r="O105" s="182">
        <f>M105</f>
        <v>-2075010</v>
      </c>
      <c r="P105" s="154"/>
      <c r="Q105" s="46" t="s">
        <v>302</v>
      </c>
      <c r="R105" s="27"/>
      <c r="S105" s="27"/>
      <c r="T105" s="27"/>
    </row>
    <row r="106" spans="1:21" ht="24" customHeight="1">
      <c r="A106" s="16">
        <v>63</v>
      </c>
      <c r="B106" s="44" t="s">
        <v>207</v>
      </c>
      <c r="C106" s="18" t="s">
        <v>195</v>
      </c>
      <c r="D106" s="59">
        <v>139</v>
      </c>
      <c r="E106" s="36" t="str">
        <f t="shared" si="9"/>
        <v>419-1</v>
      </c>
      <c r="F106" s="18" t="str">
        <f t="shared" si="10"/>
        <v>답</v>
      </c>
      <c r="G106" s="60">
        <v>380</v>
      </c>
      <c r="H106" s="38"/>
      <c r="I106" s="22">
        <v>9120</v>
      </c>
      <c r="J106" s="23">
        <f>G106-D106</f>
        <v>241</v>
      </c>
      <c r="K106" s="24">
        <f>ROUNDDOWN((I106*J106),-1)</f>
        <v>2197920</v>
      </c>
      <c r="L106" s="25" t="str">
        <f t="shared" si="7"/>
        <v/>
      </c>
      <c r="M106" s="157" t="s">
        <v>273</v>
      </c>
      <c r="N106" s="180"/>
      <c r="O106" s="182">
        <f>K106</f>
        <v>2197920</v>
      </c>
      <c r="P106" s="154"/>
      <c r="Q106" s="46" t="s">
        <v>302</v>
      </c>
      <c r="R106" s="27"/>
      <c r="S106" s="27"/>
      <c r="T106" s="43"/>
    </row>
    <row r="107" spans="1:21" s="4" customFormat="1" ht="24" customHeight="1">
      <c r="A107" s="127" t="s">
        <v>271</v>
      </c>
      <c r="B107" s="127"/>
      <c r="C107" s="117"/>
      <c r="D107" s="128">
        <f>SUM(D105:D106)</f>
        <v>1058</v>
      </c>
      <c r="E107" s="127"/>
      <c r="F107" s="117"/>
      <c r="G107" s="124">
        <f>SUM(G105:G106)</f>
        <v>1058</v>
      </c>
      <c r="H107" s="134"/>
      <c r="I107" s="135"/>
      <c r="J107" s="147">
        <f>SUM(J105:J106)</f>
        <v>241</v>
      </c>
      <c r="K107" s="145">
        <f>SUM(K105:K106)</f>
        <v>2197920</v>
      </c>
      <c r="L107" s="152">
        <f>SUM(L105:L106)</f>
        <v>-241</v>
      </c>
      <c r="M107" s="189">
        <f>SUM(M105:M106)</f>
        <v>-2075010</v>
      </c>
      <c r="N107" s="158"/>
      <c r="O107" s="184">
        <f>SUM(O105:O106)</f>
        <v>122910</v>
      </c>
      <c r="P107" s="155" t="s">
        <v>6</v>
      </c>
      <c r="Q107" s="141"/>
      <c r="R107" s="138"/>
      <c r="S107" s="138"/>
      <c r="T107" s="143"/>
      <c r="U107"/>
    </row>
    <row r="108" spans="1:21" ht="24" customHeight="1">
      <c r="A108" s="16">
        <v>64</v>
      </c>
      <c r="B108" s="17">
        <v>170</v>
      </c>
      <c r="C108" s="18" t="s">
        <v>164</v>
      </c>
      <c r="D108" s="19">
        <v>1524</v>
      </c>
      <c r="E108" s="36">
        <f t="shared" si="9"/>
        <v>170</v>
      </c>
      <c r="F108" s="18" t="str">
        <f t="shared" si="10"/>
        <v>전</v>
      </c>
      <c r="G108" s="60">
        <v>1461</v>
      </c>
      <c r="H108" s="38"/>
      <c r="I108" s="22">
        <v>7080</v>
      </c>
      <c r="J108" s="23"/>
      <c r="K108" s="24"/>
      <c r="L108" s="25">
        <f t="shared" si="7"/>
        <v>-63</v>
      </c>
      <c r="M108" s="157">
        <v>-446040</v>
      </c>
      <c r="N108" s="180"/>
      <c r="O108" s="182">
        <f>M108</f>
        <v>-446040</v>
      </c>
      <c r="P108" s="154"/>
      <c r="Q108" s="26" t="s">
        <v>303</v>
      </c>
      <c r="R108" s="27"/>
      <c r="S108" s="27"/>
      <c r="T108" s="43"/>
    </row>
    <row r="109" spans="1:21" ht="24" customHeight="1">
      <c r="A109" s="16"/>
      <c r="B109" s="17"/>
      <c r="C109" s="18"/>
      <c r="D109" s="19"/>
      <c r="E109" s="36"/>
      <c r="F109" s="18"/>
      <c r="G109" s="60"/>
      <c r="H109" s="38"/>
      <c r="I109" s="22"/>
      <c r="J109" s="23"/>
      <c r="K109" s="24"/>
      <c r="L109" s="25"/>
      <c r="M109" s="157"/>
      <c r="N109" s="180"/>
      <c r="O109" s="182"/>
      <c r="P109" s="154"/>
      <c r="Q109" s="26" t="s">
        <v>304</v>
      </c>
      <c r="R109" s="27"/>
      <c r="S109" s="27"/>
      <c r="T109" s="43"/>
    </row>
    <row r="110" spans="1:21" ht="24" customHeight="1">
      <c r="A110" s="16"/>
      <c r="B110" s="17"/>
      <c r="C110" s="18"/>
      <c r="D110" s="19"/>
      <c r="E110" s="36"/>
      <c r="F110" s="18"/>
      <c r="G110" s="60"/>
      <c r="H110" s="38"/>
      <c r="I110" s="22"/>
      <c r="J110" s="23"/>
      <c r="K110" s="24"/>
      <c r="L110" s="25"/>
      <c r="M110" s="157"/>
      <c r="N110" s="180"/>
      <c r="O110" s="182"/>
      <c r="P110" s="154"/>
      <c r="Q110" s="26" t="s">
        <v>305</v>
      </c>
      <c r="R110" s="27"/>
      <c r="S110" s="27"/>
      <c r="T110" s="43"/>
    </row>
    <row r="111" spans="1:21" ht="24" customHeight="1">
      <c r="A111" s="16"/>
      <c r="B111" s="17"/>
      <c r="C111" s="18"/>
      <c r="D111" s="19"/>
      <c r="E111" s="36"/>
      <c r="F111" s="18"/>
      <c r="G111" s="60"/>
      <c r="H111" s="38"/>
      <c r="I111" s="22"/>
      <c r="J111" s="23"/>
      <c r="K111" s="24"/>
      <c r="L111" s="25"/>
      <c r="M111" s="157"/>
      <c r="N111" s="180"/>
      <c r="O111" s="182"/>
      <c r="P111" s="154"/>
      <c r="Q111" s="26" t="s">
        <v>306</v>
      </c>
      <c r="R111" s="27"/>
      <c r="S111" s="27"/>
      <c r="T111" s="43"/>
    </row>
    <row r="112" spans="1:21" ht="24" customHeight="1">
      <c r="A112" s="16"/>
      <c r="B112" s="17"/>
      <c r="C112" s="18"/>
      <c r="D112" s="19"/>
      <c r="E112" s="36"/>
      <c r="F112" s="18"/>
      <c r="G112" s="60"/>
      <c r="H112" s="38"/>
      <c r="I112" s="22"/>
      <c r="J112" s="23"/>
      <c r="K112" s="24"/>
      <c r="L112" s="25"/>
      <c r="M112" s="157"/>
      <c r="N112" s="180"/>
      <c r="O112" s="182"/>
      <c r="P112" s="154"/>
      <c r="Q112" s="26" t="s">
        <v>307</v>
      </c>
      <c r="R112" s="27"/>
      <c r="S112" s="27"/>
      <c r="T112" s="43"/>
    </row>
    <row r="113" spans="1:21" ht="24" customHeight="1">
      <c r="A113" s="16"/>
      <c r="B113" s="17"/>
      <c r="C113" s="18"/>
      <c r="D113" s="19"/>
      <c r="E113" s="36"/>
      <c r="F113" s="18"/>
      <c r="G113" s="60"/>
      <c r="H113" s="38"/>
      <c r="I113" s="22"/>
      <c r="J113" s="23"/>
      <c r="K113" s="24"/>
      <c r="L113" s="25"/>
      <c r="M113" s="157"/>
      <c r="N113" s="180"/>
      <c r="O113" s="182"/>
      <c r="P113" s="154"/>
      <c r="Q113" s="26" t="s">
        <v>308</v>
      </c>
      <c r="R113" s="27"/>
      <c r="S113" s="27"/>
      <c r="T113" s="43"/>
    </row>
    <row r="114" spans="1:21" s="4" customFormat="1" ht="24" customHeight="1">
      <c r="A114" s="16">
        <v>65</v>
      </c>
      <c r="B114" s="17">
        <v>324</v>
      </c>
      <c r="C114" s="18" t="s">
        <v>164</v>
      </c>
      <c r="D114" s="19">
        <v>922</v>
      </c>
      <c r="E114" s="36">
        <f t="shared" si="9"/>
        <v>324</v>
      </c>
      <c r="F114" s="18" t="str">
        <f t="shared" si="10"/>
        <v>전</v>
      </c>
      <c r="G114" s="60">
        <v>914.7</v>
      </c>
      <c r="H114" s="38"/>
      <c r="I114" s="22">
        <v>4480</v>
      </c>
      <c r="J114" s="23"/>
      <c r="K114" s="24"/>
      <c r="L114" s="25">
        <f t="shared" si="7"/>
        <v>-7.2999999999999545</v>
      </c>
      <c r="M114" s="157">
        <f>ROUNDDOWN((-32703.9999999998),-1)</f>
        <v>-32700</v>
      </c>
      <c r="N114" s="180"/>
      <c r="O114" s="182">
        <f>M114</f>
        <v>-32700</v>
      </c>
      <c r="P114" s="154"/>
      <c r="Q114" s="26" t="s">
        <v>309</v>
      </c>
      <c r="R114" s="27"/>
      <c r="S114" s="27"/>
      <c r="T114" s="43"/>
    </row>
    <row r="115" spans="1:21" s="4" customFormat="1" ht="24" customHeight="1">
      <c r="A115" s="16"/>
      <c r="B115" s="17"/>
      <c r="C115" s="18"/>
      <c r="D115" s="19"/>
      <c r="E115" s="36"/>
      <c r="F115" s="18"/>
      <c r="G115" s="60"/>
      <c r="H115" s="38"/>
      <c r="I115" s="22"/>
      <c r="J115" s="23"/>
      <c r="K115" s="24"/>
      <c r="L115" s="25"/>
      <c r="M115" s="157"/>
      <c r="N115" s="180"/>
      <c r="O115" s="182"/>
      <c r="P115" s="154"/>
      <c r="Q115" s="26" t="s">
        <v>304</v>
      </c>
      <c r="R115" s="27"/>
      <c r="S115" s="27"/>
      <c r="T115" s="43"/>
    </row>
    <row r="116" spans="1:21" s="4" customFormat="1" ht="24" customHeight="1">
      <c r="A116" s="16"/>
      <c r="B116" s="17"/>
      <c r="C116" s="18"/>
      <c r="D116" s="19"/>
      <c r="E116" s="36"/>
      <c r="F116" s="18"/>
      <c r="G116" s="60"/>
      <c r="H116" s="38"/>
      <c r="I116" s="22"/>
      <c r="J116" s="23"/>
      <c r="K116" s="24"/>
      <c r="L116" s="25"/>
      <c r="M116" s="157"/>
      <c r="N116" s="180"/>
      <c r="O116" s="182"/>
      <c r="P116" s="154"/>
      <c r="Q116" s="26" t="s">
        <v>305</v>
      </c>
      <c r="R116" s="27"/>
      <c r="S116" s="27"/>
      <c r="T116" s="43"/>
    </row>
    <row r="117" spans="1:21" s="4" customFormat="1" ht="24" customHeight="1">
      <c r="A117" s="16"/>
      <c r="B117" s="17"/>
      <c r="C117" s="18"/>
      <c r="D117" s="19"/>
      <c r="E117" s="36"/>
      <c r="F117" s="18"/>
      <c r="G117" s="60"/>
      <c r="H117" s="38"/>
      <c r="I117" s="22"/>
      <c r="J117" s="23"/>
      <c r="K117" s="24"/>
      <c r="L117" s="25"/>
      <c r="M117" s="157"/>
      <c r="N117" s="180"/>
      <c r="O117" s="182"/>
      <c r="P117" s="154"/>
      <c r="Q117" s="26" t="s">
        <v>306</v>
      </c>
      <c r="R117" s="27"/>
      <c r="S117" s="27"/>
      <c r="T117" s="43"/>
    </row>
    <row r="118" spans="1:21" s="4" customFormat="1" ht="24" customHeight="1">
      <c r="A118" s="16"/>
      <c r="B118" s="17"/>
      <c r="C118" s="18"/>
      <c r="D118" s="19"/>
      <c r="E118" s="36"/>
      <c r="F118" s="18"/>
      <c r="G118" s="60"/>
      <c r="H118" s="38"/>
      <c r="I118" s="22"/>
      <c r="J118" s="23"/>
      <c r="K118" s="24"/>
      <c r="L118" s="25"/>
      <c r="M118" s="157"/>
      <c r="N118" s="180"/>
      <c r="O118" s="182"/>
      <c r="P118" s="154"/>
      <c r="Q118" s="26" t="s">
        <v>307</v>
      </c>
      <c r="R118" s="27"/>
      <c r="S118" s="27"/>
      <c r="T118" s="43"/>
    </row>
    <row r="119" spans="1:21" s="4" customFormat="1" ht="24" customHeight="1">
      <c r="A119" s="16"/>
      <c r="B119" s="17"/>
      <c r="C119" s="18"/>
      <c r="D119" s="19"/>
      <c r="E119" s="36"/>
      <c r="F119" s="18"/>
      <c r="G119" s="60"/>
      <c r="H119" s="38"/>
      <c r="I119" s="22"/>
      <c r="J119" s="23"/>
      <c r="K119" s="24"/>
      <c r="L119" s="25"/>
      <c r="M119" s="157"/>
      <c r="N119" s="180"/>
      <c r="O119" s="182"/>
      <c r="P119" s="154"/>
      <c r="Q119" s="26" t="s">
        <v>308</v>
      </c>
      <c r="R119" s="27"/>
      <c r="S119" s="27"/>
      <c r="T119" s="43"/>
    </row>
    <row r="120" spans="1:21" s="4" customFormat="1" ht="24" customHeight="1">
      <c r="A120" s="127" t="s">
        <v>271</v>
      </c>
      <c r="B120" s="127"/>
      <c r="C120" s="117"/>
      <c r="D120" s="128">
        <f>SUM(D108:D114)</f>
        <v>2446</v>
      </c>
      <c r="E120" s="127"/>
      <c r="F120" s="117"/>
      <c r="G120" s="124">
        <f>SUM(G108:G114)</f>
        <v>2375.6999999999998</v>
      </c>
      <c r="H120" s="134"/>
      <c r="I120" s="135"/>
      <c r="J120" s="147"/>
      <c r="K120" s="145"/>
      <c r="L120" s="146">
        <f>SUM(L108:L114)</f>
        <v>-70.299999999999955</v>
      </c>
      <c r="M120" s="158">
        <f>SUM(M108:M114)</f>
        <v>-478740</v>
      </c>
      <c r="N120" s="158"/>
      <c r="O120" s="184">
        <f>SUM(O108:O114)</f>
        <v>-478740</v>
      </c>
      <c r="P120" s="155" t="s">
        <v>6</v>
      </c>
      <c r="Q120" s="141"/>
      <c r="R120" s="138"/>
      <c r="S120" s="138"/>
      <c r="T120" s="143"/>
      <c r="U120"/>
    </row>
    <row r="121" spans="1:21" s="4" customFormat="1" ht="24" customHeight="1">
      <c r="A121" s="16">
        <v>66</v>
      </c>
      <c r="B121" s="69" t="s">
        <v>208</v>
      </c>
      <c r="C121" s="18" t="s">
        <v>164</v>
      </c>
      <c r="D121" s="19">
        <v>1279</v>
      </c>
      <c r="E121" s="36" t="str">
        <f t="shared" si="9"/>
        <v>93-1</v>
      </c>
      <c r="F121" s="18" t="str">
        <f t="shared" si="10"/>
        <v>전</v>
      </c>
      <c r="G121" s="60">
        <v>1253.2</v>
      </c>
      <c r="H121" s="21"/>
      <c r="I121" s="70">
        <v>5890</v>
      </c>
      <c r="J121" s="23"/>
      <c r="K121" s="24"/>
      <c r="L121" s="25">
        <f t="shared" si="7"/>
        <v>-25.799999999999955</v>
      </c>
      <c r="M121" s="157">
        <f>ROUNDDOWN((-151962),-1)</f>
        <v>-151960</v>
      </c>
      <c r="N121" s="180"/>
      <c r="O121" s="182">
        <f>M121</f>
        <v>-151960</v>
      </c>
      <c r="P121" s="154"/>
      <c r="Q121" s="26" t="s">
        <v>310</v>
      </c>
      <c r="R121" s="27"/>
      <c r="S121" s="27"/>
      <c r="T121" s="43"/>
    </row>
    <row r="122" spans="1:21" ht="24" customHeight="1">
      <c r="A122" s="16">
        <v>67</v>
      </c>
      <c r="B122" s="69" t="s">
        <v>209</v>
      </c>
      <c r="C122" s="18" t="s">
        <v>164</v>
      </c>
      <c r="D122" s="19">
        <v>615</v>
      </c>
      <c r="E122" s="36" t="str">
        <f t="shared" si="9"/>
        <v>93-2</v>
      </c>
      <c r="F122" s="18" t="str">
        <f t="shared" si="10"/>
        <v>전</v>
      </c>
      <c r="G122" s="60">
        <v>470.4</v>
      </c>
      <c r="H122" s="21"/>
      <c r="I122" s="22">
        <v>7920</v>
      </c>
      <c r="J122" s="23"/>
      <c r="K122" s="24"/>
      <c r="L122" s="25">
        <f t="shared" si="7"/>
        <v>-144.60000000000002</v>
      </c>
      <c r="M122" s="156">
        <f>ROUNDDOWN((-1145232),-1)</f>
        <v>-1145230</v>
      </c>
      <c r="N122" s="181"/>
      <c r="O122" s="182">
        <f>M122</f>
        <v>-1145230</v>
      </c>
      <c r="P122" s="154"/>
      <c r="Q122" s="26" t="s">
        <v>310</v>
      </c>
      <c r="R122" s="27"/>
      <c r="S122" s="27"/>
      <c r="T122" s="43"/>
    </row>
    <row r="123" spans="1:21" s="4" customFormat="1" ht="24" customHeight="1">
      <c r="A123" s="127" t="s">
        <v>271</v>
      </c>
      <c r="B123" s="127"/>
      <c r="C123" s="117"/>
      <c r="D123" s="128">
        <f>SUM(D121:D122)</f>
        <v>1894</v>
      </c>
      <c r="E123" s="127"/>
      <c r="F123" s="117"/>
      <c r="G123" s="124">
        <f>SUM(G121:G122)</f>
        <v>1723.6</v>
      </c>
      <c r="H123" s="134"/>
      <c r="I123" s="135"/>
      <c r="J123" s="147"/>
      <c r="K123" s="145"/>
      <c r="L123" s="152">
        <f>SUM(L121:L122)</f>
        <v>-170.39999999999998</v>
      </c>
      <c r="M123" s="189">
        <f>SUM(M121:M122)</f>
        <v>-1297190</v>
      </c>
      <c r="N123" s="158"/>
      <c r="O123" s="184">
        <f>SUM(O121:O122)</f>
        <v>-1297190</v>
      </c>
      <c r="P123" s="155" t="s">
        <v>6</v>
      </c>
      <c r="Q123" s="141"/>
      <c r="R123" s="138"/>
      <c r="S123" s="138"/>
      <c r="T123" s="143"/>
      <c r="U123"/>
    </row>
    <row r="124" spans="1:21" ht="24" customHeight="1">
      <c r="A124" s="16">
        <v>68</v>
      </c>
      <c r="B124" s="17" t="s">
        <v>210</v>
      </c>
      <c r="C124" s="18" t="s">
        <v>211</v>
      </c>
      <c r="D124" s="19">
        <v>1224</v>
      </c>
      <c r="E124" s="36" t="str">
        <f t="shared" si="9"/>
        <v>164-3</v>
      </c>
      <c r="F124" s="18" t="str">
        <f t="shared" si="10"/>
        <v>구거</v>
      </c>
      <c r="G124" s="20">
        <v>1184.2</v>
      </c>
      <c r="H124" s="71"/>
      <c r="I124" s="22">
        <v>3790</v>
      </c>
      <c r="J124" s="23"/>
      <c r="K124" s="24"/>
      <c r="L124" s="25">
        <f t="shared" si="7"/>
        <v>-39.799999999999955</v>
      </c>
      <c r="M124" s="157">
        <f>ROUNDDOWN((-150842),-1)</f>
        <v>-150840</v>
      </c>
      <c r="N124" s="180"/>
      <c r="O124" s="182">
        <f>M124</f>
        <v>-150840</v>
      </c>
      <c r="P124" s="154"/>
      <c r="Q124" s="26" t="s">
        <v>212</v>
      </c>
      <c r="R124" s="27"/>
      <c r="S124" s="27"/>
      <c r="T124" s="43"/>
    </row>
    <row r="125" spans="1:21" ht="24" customHeight="1">
      <c r="A125" s="16">
        <v>69</v>
      </c>
      <c r="B125" s="28">
        <v>182</v>
      </c>
      <c r="C125" s="18" t="s">
        <v>213</v>
      </c>
      <c r="D125" s="29">
        <v>376</v>
      </c>
      <c r="E125" s="36">
        <f t="shared" si="9"/>
        <v>182</v>
      </c>
      <c r="F125" s="18" t="str">
        <f t="shared" si="10"/>
        <v>답</v>
      </c>
      <c r="G125" s="30">
        <v>259.3</v>
      </c>
      <c r="H125" s="71"/>
      <c r="I125" s="22">
        <v>2640</v>
      </c>
      <c r="J125" s="23"/>
      <c r="K125" s="24"/>
      <c r="L125" s="25">
        <f t="shared" si="7"/>
        <v>-116.69999999999999</v>
      </c>
      <c r="M125" s="157">
        <f>ROUNDDOWN((-308088),-1)</f>
        <v>-308080</v>
      </c>
      <c r="N125" s="180"/>
      <c r="O125" s="182">
        <f>M125</f>
        <v>-308080</v>
      </c>
      <c r="P125" s="154"/>
      <c r="Q125" s="26" t="s">
        <v>212</v>
      </c>
      <c r="R125" s="27"/>
      <c r="S125" s="27"/>
      <c r="T125" s="43"/>
    </row>
    <row r="126" spans="1:21" ht="24" customHeight="1">
      <c r="A126" s="16">
        <v>70</v>
      </c>
      <c r="B126" s="72" t="s">
        <v>214</v>
      </c>
      <c r="C126" s="18" t="s">
        <v>215</v>
      </c>
      <c r="D126" s="73">
        <v>315</v>
      </c>
      <c r="E126" s="36" t="str">
        <f t="shared" si="9"/>
        <v>375-5</v>
      </c>
      <c r="F126" s="18" t="str">
        <f t="shared" si="10"/>
        <v>구거</v>
      </c>
      <c r="G126" s="30">
        <v>373.4</v>
      </c>
      <c r="H126" s="71"/>
      <c r="I126" s="22">
        <v>3790</v>
      </c>
      <c r="J126" s="23">
        <f>G126-D126</f>
        <v>58.399999999999977</v>
      </c>
      <c r="K126" s="24">
        <f>ROUNDDOWN((I126*J126),-1)</f>
        <v>221330</v>
      </c>
      <c r="L126" s="25" t="str">
        <f t="shared" si="7"/>
        <v/>
      </c>
      <c r="M126" s="157" t="s">
        <v>273</v>
      </c>
      <c r="N126" s="180"/>
      <c r="O126" s="182">
        <f>ROUNDDOWN(K126,-1)</f>
        <v>221330</v>
      </c>
      <c r="P126" s="154"/>
      <c r="Q126" s="26" t="s">
        <v>212</v>
      </c>
      <c r="R126" s="27"/>
      <c r="S126" s="27"/>
      <c r="T126" s="43"/>
    </row>
    <row r="127" spans="1:21" ht="24" customHeight="1">
      <c r="A127" s="16">
        <v>71</v>
      </c>
      <c r="B127" s="74" t="s">
        <v>216</v>
      </c>
      <c r="C127" s="18" t="s">
        <v>215</v>
      </c>
      <c r="D127" s="65">
        <v>368</v>
      </c>
      <c r="E127" s="36" t="str">
        <f t="shared" si="9"/>
        <v>378-1</v>
      </c>
      <c r="F127" s="18" t="str">
        <f t="shared" si="10"/>
        <v>구거</v>
      </c>
      <c r="G127" s="30">
        <v>305.39999999999998</v>
      </c>
      <c r="H127" s="75"/>
      <c r="I127" s="22">
        <v>3790</v>
      </c>
      <c r="J127" s="23"/>
      <c r="K127" s="24"/>
      <c r="L127" s="25">
        <f t="shared" si="7"/>
        <v>-62.600000000000023</v>
      </c>
      <c r="M127" s="157">
        <f>ROUNDDOWN((-237254),-1)</f>
        <v>-237250</v>
      </c>
      <c r="N127" s="180"/>
      <c r="O127" s="182">
        <f>M127</f>
        <v>-237250</v>
      </c>
      <c r="P127" s="154"/>
      <c r="Q127" s="26" t="s">
        <v>212</v>
      </c>
      <c r="R127" s="27"/>
      <c r="S127" s="27"/>
      <c r="T127" s="76"/>
    </row>
    <row r="128" spans="1:21" ht="24" customHeight="1">
      <c r="A128" s="16">
        <v>72</v>
      </c>
      <c r="B128" s="74" t="s">
        <v>217</v>
      </c>
      <c r="C128" s="18" t="s">
        <v>215</v>
      </c>
      <c r="D128" s="65">
        <v>117</v>
      </c>
      <c r="E128" s="36" t="str">
        <f t="shared" si="9"/>
        <v>387-1</v>
      </c>
      <c r="F128" s="18" t="str">
        <f t="shared" si="10"/>
        <v>구거</v>
      </c>
      <c r="G128" s="30">
        <v>108.5</v>
      </c>
      <c r="H128" s="75"/>
      <c r="I128" s="22">
        <v>3790</v>
      </c>
      <c r="J128" s="23"/>
      <c r="K128" s="24"/>
      <c r="L128" s="25">
        <f t="shared" si="7"/>
        <v>-8.5</v>
      </c>
      <c r="M128" s="157">
        <f>ROUNDDOWN((-32215),-1)</f>
        <v>-32210</v>
      </c>
      <c r="N128" s="180"/>
      <c r="O128" s="182">
        <f>M128</f>
        <v>-32210</v>
      </c>
      <c r="P128" s="154"/>
      <c r="Q128" s="26" t="s">
        <v>212</v>
      </c>
      <c r="R128" s="27"/>
      <c r="S128" s="27"/>
      <c r="T128" s="76"/>
    </row>
    <row r="129" spans="1:21" s="4" customFormat="1" ht="24" customHeight="1">
      <c r="A129" s="16">
        <v>73</v>
      </c>
      <c r="B129" s="49">
        <v>416</v>
      </c>
      <c r="C129" s="18" t="s">
        <v>213</v>
      </c>
      <c r="D129" s="65">
        <v>2764</v>
      </c>
      <c r="E129" s="36">
        <f t="shared" si="9"/>
        <v>416</v>
      </c>
      <c r="F129" s="18" t="str">
        <f t="shared" si="10"/>
        <v>답</v>
      </c>
      <c r="G129" s="30">
        <v>2932.5</v>
      </c>
      <c r="H129" s="38"/>
      <c r="I129" s="22">
        <v>8860</v>
      </c>
      <c r="J129" s="23">
        <f>G129-D129</f>
        <v>168.5</v>
      </c>
      <c r="K129" s="24">
        <f>ROUNDDOWN((I129*J129),-1)</f>
        <v>1492910</v>
      </c>
      <c r="L129" s="25" t="str">
        <f t="shared" si="7"/>
        <v/>
      </c>
      <c r="M129" s="157" t="s">
        <v>273</v>
      </c>
      <c r="N129" s="180"/>
      <c r="O129" s="182">
        <f>K129</f>
        <v>1492910</v>
      </c>
      <c r="P129" s="154"/>
      <c r="Q129" s="26" t="s">
        <v>212</v>
      </c>
      <c r="R129" s="27"/>
      <c r="S129" s="27"/>
      <c r="T129" s="43"/>
    </row>
    <row r="130" spans="1:21" s="4" customFormat="1" ht="24" customHeight="1">
      <c r="A130" s="16">
        <v>74</v>
      </c>
      <c r="B130" s="53" t="s">
        <v>218</v>
      </c>
      <c r="C130" s="18" t="s">
        <v>213</v>
      </c>
      <c r="D130" s="65">
        <v>2509</v>
      </c>
      <c r="E130" s="36" t="str">
        <f t="shared" si="9"/>
        <v>418-2</v>
      </c>
      <c r="F130" s="18" t="str">
        <f t="shared" si="10"/>
        <v>답</v>
      </c>
      <c r="G130" s="30">
        <v>2736.7</v>
      </c>
      <c r="H130" s="38"/>
      <c r="I130" s="22">
        <v>9390</v>
      </c>
      <c r="J130" s="23">
        <f>G130-D130</f>
        <v>227.69999999999982</v>
      </c>
      <c r="K130" s="24">
        <f>ROUNDDOWN((I130*J130),-1)</f>
        <v>2138100</v>
      </c>
      <c r="L130" s="25" t="str">
        <f t="shared" si="7"/>
        <v/>
      </c>
      <c r="M130" s="157" t="s">
        <v>273</v>
      </c>
      <c r="N130" s="180"/>
      <c r="O130" s="182">
        <f>K130</f>
        <v>2138100</v>
      </c>
      <c r="P130" s="154"/>
      <c r="Q130" s="26" t="s">
        <v>212</v>
      </c>
      <c r="R130" s="27"/>
      <c r="S130" s="27"/>
      <c r="T130" s="43"/>
    </row>
    <row r="131" spans="1:21" ht="24" customHeight="1">
      <c r="A131" s="16">
        <v>75</v>
      </c>
      <c r="B131" s="44" t="s">
        <v>219</v>
      </c>
      <c r="C131" s="18" t="s">
        <v>215</v>
      </c>
      <c r="D131" s="59">
        <v>443</v>
      </c>
      <c r="E131" s="36" t="str">
        <f t="shared" si="9"/>
        <v>472-2</v>
      </c>
      <c r="F131" s="18" t="str">
        <f t="shared" si="10"/>
        <v>구거</v>
      </c>
      <c r="G131" s="60">
        <v>486.3</v>
      </c>
      <c r="H131" s="38"/>
      <c r="I131" s="22">
        <v>3790</v>
      </c>
      <c r="J131" s="23">
        <f>G131-D131</f>
        <v>43.300000000000011</v>
      </c>
      <c r="K131" s="24">
        <f>ROUNDDOWN((I131*J131),-1)</f>
        <v>164100</v>
      </c>
      <c r="L131" s="25" t="str">
        <f t="shared" si="7"/>
        <v/>
      </c>
      <c r="M131" s="157" t="s">
        <v>273</v>
      </c>
      <c r="N131" s="180"/>
      <c r="O131" s="182">
        <f>K131</f>
        <v>164100</v>
      </c>
      <c r="P131" s="154"/>
      <c r="Q131" s="26" t="s">
        <v>212</v>
      </c>
      <c r="R131" s="27"/>
      <c r="S131" s="27"/>
      <c r="T131" s="43"/>
    </row>
    <row r="132" spans="1:21" ht="24" customHeight="1">
      <c r="A132" s="16">
        <v>76</v>
      </c>
      <c r="B132" s="44" t="s">
        <v>220</v>
      </c>
      <c r="C132" s="18" t="s">
        <v>215</v>
      </c>
      <c r="D132" s="59">
        <v>186</v>
      </c>
      <c r="E132" s="36" t="str">
        <f t="shared" si="9"/>
        <v>482-5</v>
      </c>
      <c r="F132" s="18" t="str">
        <f t="shared" si="10"/>
        <v>구거</v>
      </c>
      <c r="G132" s="60">
        <v>192.4</v>
      </c>
      <c r="H132" s="38"/>
      <c r="I132" s="22">
        <v>3790</v>
      </c>
      <c r="J132" s="23">
        <f>G132-D132</f>
        <v>6.4000000000000057</v>
      </c>
      <c r="K132" s="24">
        <f>ROUNDDOWN((I132*J132),-1)</f>
        <v>24250</v>
      </c>
      <c r="L132" s="25" t="str">
        <f t="shared" si="7"/>
        <v/>
      </c>
      <c r="M132" s="157" t="s">
        <v>273</v>
      </c>
      <c r="N132" s="180"/>
      <c r="O132" s="182">
        <f>K132</f>
        <v>24250</v>
      </c>
      <c r="P132" s="154"/>
      <c r="Q132" s="26" t="s">
        <v>212</v>
      </c>
      <c r="R132" s="27"/>
      <c r="S132" s="27"/>
      <c r="T132" s="43"/>
    </row>
    <row r="133" spans="1:21" ht="24" customHeight="1">
      <c r="A133" s="16">
        <v>77</v>
      </c>
      <c r="B133" s="44" t="s">
        <v>221</v>
      </c>
      <c r="C133" s="18" t="s">
        <v>215</v>
      </c>
      <c r="D133" s="59">
        <v>361</v>
      </c>
      <c r="E133" s="36" t="str">
        <f t="shared" si="9"/>
        <v>490-1</v>
      </c>
      <c r="F133" s="18" t="str">
        <f t="shared" si="10"/>
        <v>구거</v>
      </c>
      <c r="G133" s="60">
        <v>329.2</v>
      </c>
      <c r="H133" s="38"/>
      <c r="I133" s="22">
        <v>3790</v>
      </c>
      <c r="J133" s="23"/>
      <c r="K133" s="24"/>
      <c r="L133" s="25">
        <f t="shared" si="7"/>
        <v>-31.800000000000011</v>
      </c>
      <c r="M133" s="157">
        <f>ROUNDDOWN((-120522),-1)</f>
        <v>-120520</v>
      </c>
      <c r="N133" s="180"/>
      <c r="O133" s="182">
        <f>M133</f>
        <v>-120520</v>
      </c>
      <c r="P133" s="154"/>
      <c r="Q133" s="26" t="s">
        <v>212</v>
      </c>
      <c r="R133" s="27"/>
      <c r="S133" s="27"/>
      <c r="T133" s="43"/>
    </row>
    <row r="134" spans="1:21" ht="24" customHeight="1">
      <c r="A134" s="16">
        <v>78</v>
      </c>
      <c r="B134" s="44" t="s">
        <v>222</v>
      </c>
      <c r="C134" s="18" t="s">
        <v>215</v>
      </c>
      <c r="D134" s="59">
        <v>112</v>
      </c>
      <c r="E134" s="36" t="str">
        <f t="shared" si="9"/>
        <v>497-4</v>
      </c>
      <c r="F134" s="18" t="str">
        <f t="shared" si="10"/>
        <v>구거</v>
      </c>
      <c r="G134" s="60">
        <v>81.8</v>
      </c>
      <c r="H134" s="38"/>
      <c r="I134" s="22">
        <v>3790</v>
      </c>
      <c r="J134" s="23"/>
      <c r="K134" s="24"/>
      <c r="L134" s="25">
        <f t="shared" si="7"/>
        <v>-30.200000000000003</v>
      </c>
      <c r="M134" s="157">
        <f>ROUNDDOWN((-114458),-1)</f>
        <v>-114450</v>
      </c>
      <c r="N134" s="180"/>
      <c r="O134" s="182">
        <f>M134</f>
        <v>-114450</v>
      </c>
      <c r="P134" s="154"/>
      <c r="Q134" s="26" t="s">
        <v>212</v>
      </c>
      <c r="R134" s="27"/>
      <c r="S134" s="27"/>
      <c r="T134" s="43"/>
    </row>
    <row r="135" spans="1:21" s="4" customFormat="1" ht="24" customHeight="1">
      <c r="A135" s="127" t="s">
        <v>271</v>
      </c>
      <c r="B135" s="127"/>
      <c r="C135" s="117"/>
      <c r="D135" s="128">
        <f>SUM(D124:D134)</f>
        <v>8775</v>
      </c>
      <c r="E135" s="127"/>
      <c r="F135" s="117"/>
      <c r="G135" s="124">
        <f>SUM(G124:G134)</f>
        <v>8989.6999999999989</v>
      </c>
      <c r="H135" s="134"/>
      <c r="I135" s="135"/>
      <c r="J135" s="147">
        <f>SUM(J124:J134)</f>
        <v>504.29999999999984</v>
      </c>
      <c r="K135" s="145">
        <f>SUM(K124:K134)</f>
        <v>4040690</v>
      </c>
      <c r="L135" s="146">
        <f>SUM(L124:L134)</f>
        <v>-289.59999999999997</v>
      </c>
      <c r="M135" s="158">
        <f>SUM(M124:M134)</f>
        <v>-963350</v>
      </c>
      <c r="N135" s="158"/>
      <c r="O135" s="184">
        <f>SUM(O124:O134)</f>
        <v>3077340</v>
      </c>
      <c r="P135" s="155" t="s">
        <v>6</v>
      </c>
      <c r="Q135" s="141"/>
      <c r="R135" s="138"/>
      <c r="S135" s="138"/>
      <c r="T135" s="143"/>
      <c r="U135"/>
    </row>
    <row r="136" spans="1:21" ht="24" customHeight="1">
      <c r="A136" s="16">
        <v>79</v>
      </c>
      <c r="B136" s="17">
        <v>216</v>
      </c>
      <c r="C136" s="18" t="s">
        <v>223</v>
      </c>
      <c r="D136" s="19">
        <v>3722</v>
      </c>
      <c r="E136" s="36">
        <f t="shared" si="9"/>
        <v>216</v>
      </c>
      <c r="F136" s="18" t="str">
        <f t="shared" si="10"/>
        <v>전</v>
      </c>
      <c r="G136" s="20">
        <v>3324.4</v>
      </c>
      <c r="H136" s="21"/>
      <c r="I136" s="22">
        <v>7650</v>
      </c>
      <c r="J136" s="23"/>
      <c r="K136" s="24"/>
      <c r="L136" s="25">
        <f t="shared" si="7"/>
        <v>-397.59999999999991</v>
      </c>
      <c r="M136" s="156">
        <v>-3041640</v>
      </c>
      <c r="N136" s="181"/>
      <c r="O136" s="182">
        <f>M136</f>
        <v>-3041640</v>
      </c>
      <c r="P136" s="154"/>
      <c r="Q136" s="26" t="s">
        <v>311</v>
      </c>
      <c r="R136" s="27"/>
      <c r="S136" s="27"/>
      <c r="T136" s="43"/>
    </row>
    <row r="137" spans="1:21" ht="24" customHeight="1">
      <c r="A137" s="16">
        <v>80</v>
      </c>
      <c r="B137" s="17">
        <v>221</v>
      </c>
      <c r="C137" s="18" t="s">
        <v>213</v>
      </c>
      <c r="D137" s="19">
        <v>2026</v>
      </c>
      <c r="E137" s="36">
        <f t="shared" si="9"/>
        <v>221</v>
      </c>
      <c r="F137" s="18" t="str">
        <f t="shared" si="10"/>
        <v>답</v>
      </c>
      <c r="G137" s="20">
        <v>1822</v>
      </c>
      <c r="H137" s="21"/>
      <c r="I137" s="22">
        <v>7650</v>
      </c>
      <c r="J137" s="23"/>
      <c r="K137" s="24"/>
      <c r="L137" s="25">
        <f t="shared" si="7"/>
        <v>-204</v>
      </c>
      <c r="M137" s="156">
        <v>-1560600</v>
      </c>
      <c r="N137" s="181"/>
      <c r="O137" s="182">
        <f>M137</f>
        <v>-1560600</v>
      </c>
      <c r="P137" s="154"/>
      <c r="Q137" s="26" t="s">
        <v>311</v>
      </c>
      <c r="R137" s="27"/>
      <c r="S137" s="27"/>
      <c r="T137" s="77"/>
    </row>
    <row r="138" spans="1:21" s="4" customFormat="1" ht="24" customHeight="1">
      <c r="A138" s="127" t="s">
        <v>271</v>
      </c>
      <c r="B138" s="127"/>
      <c r="C138" s="117"/>
      <c r="D138" s="128">
        <f>SUM(D136:D137)</f>
        <v>5748</v>
      </c>
      <c r="E138" s="127"/>
      <c r="F138" s="117"/>
      <c r="G138" s="124">
        <f>SUM(G136:G137)</f>
        <v>5146.3999999999996</v>
      </c>
      <c r="H138" s="134"/>
      <c r="I138" s="135"/>
      <c r="J138" s="147"/>
      <c r="K138" s="145"/>
      <c r="L138" s="152">
        <f>SUM(L136:L137)</f>
        <v>-601.59999999999991</v>
      </c>
      <c r="M138" s="192">
        <f>SUM(M136:M137)</f>
        <v>-4602240</v>
      </c>
      <c r="N138" s="159"/>
      <c r="O138" s="184">
        <f>SUM(O136:O137)</f>
        <v>-4602240</v>
      </c>
      <c r="P138" s="155" t="s">
        <v>6</v>
      </c>
      <c r="Q138" s="141"/>
      <c r="R138" s="138"/>
      <c r="S138" s="138"/>
      <c r="T138" s="143"/>
      <c r="U138"/>
    </row>
    <row r="139" spans="1:21" s="4" customFormat="1" ht="24" customHeight="1">
      <c r="A139" s="16">
        <v>81</v>
      </c>
      <c r="B139" s="78" t="s">
        <v>224</v>
      </c>
      <c r="C139" s="18" t="s">
        <v>223</v>
      </c>
      <c r="D139" s="62">
        <v>866</v>
      </c>
      <c r="E139" s="36" t="str">
        <f t="shared" si="9"/>
        <v>95-3</v>
      </c>
      <c r="F139" s="18" t="str">
        <f t="shared" si="10"/>
        <v>전</v>
      </c>
      <c r="G139" s="30">
        <v>896.5</v>
      </c>
      <c r="H139" s="38"/>
      <c r="I139" s="252">
        <v>7920</v>
      </c>
      <c r="J139" s="23">
        <f>G139-D139</f>
        <v>30.5</v>
      </c>
      <c r="K139" s="24">
        <f>ROUNDDOWN((I139*J139),-1)</f>
        <v>241560</v>
      </c>
      <c r="L139" s="25" t="str">
        <f t="shared" si="7"/>
        <v/>
      </c>
      <c r="M139" s="157" t="s">
        <v>273</v>
      </c>
      <c r="N139" s="180"/>
      <c r="O139" s="182">
        <f>K139</f>
        <v>241560</v>
      </c>
      <c r="P139" s="154"/>
      <c r="Q139" s="64" t="s">
        <v>312</v>
      </c>
      <c r="R139" s="27"/>
      <c r="S139" s="27"/>
      <c r="T139" s="43"/>
    </row>
    <row r="140" spans="1:21" ht="24" customHeight="1">
      <c r="A140" s="16">
        <v>82</v>
      </c>
      <c r="B140" s="49">
        <v>309</v>
      </c>
      <c r="C140" s="18" t="s">
        <v>213</v>
      </c>
      <c r="D140" s="65">
        <v>843</v>
      </c>
      <c r="E140" s="36">
        <f t="shared" si="9"/>
        <v>309</v>
      </c>
      <c r="F140" s="18" t="str">
        <f t="shared" si="10"/>
        <v>답</v>
      </c>
      <c r="G140" s="30">
        <v>797.3</v>
      </c>
      <c r="H140" s="38"/>
      <c r="I140" s="22">
        <v>7890</v>
      </c>
      <c r="J140" s="23"/>
      <c r="K140" s="24"/>
      <c r="L140" s="25">
        <f t="shared" si="7"/>
        <v>-45.700000000000045</v>
      </c>
      <c r="M140" s="157">
        <f>ROUNDDOWN((-360573),-1)</f>
        <v>-360570</v>
      </c>
      <c r="N140" s="180"/>
      <c r="O140" s="182">
        <f>M140</f>
        <v>-360570</v>
      </c>
      <c r="P140" s="154"/>
      <c r="Q140" s="52" t="s">
        <v>313</v>
      </c>
      <c r="R140" s="27"/>
      <c r="S140" s="27"/>
      <c r="T140" s="43"/>
    </row>
    <row r="141" spans="1:21" s="4" customFormat="1" ht="24" customHeight="1">
      <c r="A141" s="16">
        <v>83</v>
      </c>
      <c r="B141" s="40" t="s">
        <v>225</v>
      </c>
      <c r="C141" s="18" t="s">
        <v>1</v>
      </c>
      <c r="D141" s="41">
        <v>350</v>
      </c>
      <c r="E141" s="36" t="str">
        <f t="shared" si="9"/>
        <v>383-2</v>
      </c>
      <c r="F141" s="18" t="str">
        <f t="shared" si="10"/>
        <v>대</v>
      </c>
      <c r="G141" s="30">
        <v>422.1</v>
      </c>
      <c r="H141" s="38"/>
      <c r="I141" s="22">
        <v>12300</v>
      </c>
      <c r="J141" s="23">
        <f>G141-D141</f>
        <v>72.100000000000023</v>
      </c>
      <c r="K141" s="24">
        <f t="shared" ref="K141:K204" si="11">ROUNDDOWN((I141*J141),-1)</f>
        <v>886830</v>
      </c>
      <c r="L141" s="25" t="str">
        <f t="shared" si="7"/>
        <v/>
      </c>
      <c r="M141" s="157" t="s">
        <v>273</v>
      </c>
      <c r="N141" s="180"/>
      <c r="O141" s="182">
        <f>K141</f>
        <v>886830</v>
      </c>
      <c r="P141" s="154"/>
      <c r="Q141" s="42" t="s">
        <v>314</v>
      </c>
      <c r="R141" s="27"/>
      <c r="S141" s="27"/>
      <c r="T141" s="43"/>
    </row>
    <row r="142" spans="1:21" ht="24" customHeight="1">
      <c r="A142" s="16">
        <v>84</v>
      </c>
      <c r="B142" s="36" t="s">
        <v>226</v>
      </c>
      <c r="C142" s="18" t="s">
        <v>223</v>
      </c>
      <c r="D142" s="37">
        <v>1157</v>
      </c>
      <c r="E142" s="36" t="str">
        <f t="shared" si="9"/>
        <v>235-2</v>
      </c>
      <c r="F142" s="18" t="str">
        <f t="shared" si="10"/>
        <v>전</v>
      </c>
      <c r="G142" s="30">
        <v>1126.3</v>
      </c>
      <c r="H142" s="38"/>
      <c r="I142" s="22">
        <v>7890</v>
      </c>
      <c r="J142" s="23"/>
      <c r="K142" s="24"/>
      <c r="L142" s="25">
        <f t="shared" si="7"/>
        <v>-30.700000000000045</v>
      </c>
      <c r="M142" s="157">
        <f>ROUNDDOWN((-242223),-1)</f>
        <v>-242220</v>
      </c>
      <c r="N142" s="180"/>
      <c r="O142" s="182">
        <f>M142</f>
        <v>-242220</v>
      </c>
      <c r="P142" s="154"/>
      <c r="Q142" s="39" t="s">
        <v>315</v>
      </c>
      <c r="R142" s="27"/>
      <c r="S142" s="27"/>
      <c r="T142" s="43"/>
    </row>
    <row r="143" spans="1:21" ht="24" customHeight="1">
      <c r="A143" s="16">
        <v>85</v>
      </c>
      <c r="B143" s="36" t="s">
        <v>227</v>
      </c>
      <c r="C143" s="18" t="s">
        <v>213</v>
      </c>
      <c r="D143" s="37">
        <v>1597</v>
      </c>
      <c r="E143" s="36" t="str">
        <f t="shared" si="9"/>
        <v>247-2</v>
      </c>
      <c r="F143" s="18" t="str">
        <f t="shared" si="10"/>
        <v>답</v>
      </c>
      <c r="G143" s="30">
        <v>1508.4</v>
      </c>
      <c r="H143" s="38"/>
      <c r="I143" s="22">
        <v>7890</v>
      </c>
      <c r="J143" s="23"/>
      <c r="K143" s="24"/>
      <c r="L143" s="25">
        <f t="shared" si="7"/>
        <v>-88.599999999999909</v>
      </c>
      <c r="M143" s="157">
        <f>ROUNDDOWN((-699053.999999999),-1)</f>
        <v>-699050</v>
      </c>
      <c r="N143" s="180"/>
      <c r="O143" s="182">
        <f>M143</f>
        <v>-699050</v>
      </c>
      <c r="P143" s="154"/>
      <c r="Q143" s="39" t="s">
        <v>276</v>
      </c>
      <c r="R143" s="27"/>
      <c r="S143" s="27"/>
      <c r="T143" s="43"/>
    </row>
    <row r="144" spans="1:21" ht="24" customHeight="1">
      <c r="A144" s="16"/>
      <c r="B144" s="36"/>
      <c r="C144" s="18"/>
      <c r="D144" s="37"/>
      <c r="E144" s="36"/>
      <c r="F144" s="18"/>
      <c r="G144" s="30"/>
      <c r="H144" s="38"/>
      <c r="I144" s="22"/>
      <c r="J144" s="23"/>
      <c r="K144" s="24"/>
      <c r="L144" s="25"/>
      <c r="M144" s="157"/>
      <c r="N144" s="180"/>
      <c r="O144" s="182"/>
      <c r="P144" s="154"/>
      <c r="Q144" s="39" t="s">
        <v>277</v>
      </c>
      <c r="R144" s="27"/>
      <c r="S144" s="27"/>
      <c r="T144" s="43"/>
    </row>
    <row r="145" spans="1:20" ht="24" customHeight="1">
      <c r="A145" s="16"/>
      <c r="B145" s="36"/>
      <c r="C145" s="18"/>
      <c r="D145" s="37"/>
      <c r="E145" s="36"/>
      <c r="F145" s="18"/>
      <c r="G145" s="30"/>
      <c r="H145" s="38"/>
      <c r="I145" s="22"/>
      <c r="J145" s="23"/>
      <c r="K145" s="24"/>
      <c r="L145" s="25"/>
      <c r="M145" s="157"/>
      <c r="N145" s="180"/>
      <c r="O145" s="182"/>
      <c r="P145" s="154"/>
      <c r="Q145" s="39" t="s">
        <v>278</v>
      </c>
      <c r="R145" s="27"/>
      <c r="S145" s="27"/>
      <c r="T145" s="43"/>
    </row>
    <row r="146" spans="1:20" ht="24" customHeight="1">
      <c r="A146" s="16"/>
      <c r="B146" s="36"/>
      <c r="C146" s="18"/>
      <c r="D146" s="37"/>
      <c r="E146" s="36"/>
      <c r="F146" s="18"/>
      <c r="G146" s="30"/>
      <c r="H146" s="38"/>
      <c r="I146" s="22"/>
      <c r="J146" s="23"/>
      <c r="K146" s="24"/>
      <c r="L146" s="25"/>
      <c r="M146" s="157"/>
      <c r="N146" s="180"/>
      <c r="O146" s="182"/>
      <c r="P146" s="154"/>
      <c r="Q146" s="39" t="s">
        <v>279</v>
      </c>
      <c r="R146" s="27"/>
      <c r="S146" s="27"/>
      <c r="T146" s="43"/>
    </row>
    <row r="147" spans="1:20" ht="24" customHeight="1">
      <c r="A147" s="16"/>
      <c r="B147" s="36"/>
      <c r="C147" s="18"/>
      <c r="D147" s="37"/>
      <c r="E147" s="36"/>
      <c r="F147" s="18"/>
      <c r="G147" s="30"/>
      <c r="H147" s="38"/>
      <c r="I147" s="22"/>
      <c r="J147" s="23"/>
      <c r="K147" s="24"/>
      <c r="L147" s="25"/>
      <c r="M147" s="157"/>
      <c r="N147" s="180"/>
      <c r="O147" s="182"/>
      <c r="P147" s="154"/>
      <c r="Q147" s="39" t="s">
        <v>280</v>
      </c>
      <c r="R147" s="27"/>
      <c r="S147" s="27"/>
      <c r="T147" s="43"/>
    </row>
    <row r="148" spans="1:20" ht="24" customHeight="1">
      <c r="A148" s="16">
        <v>86</v>
      </c>
      <c r="B148" s="36">
        <v>455</v>
      </c>
      <c r="C148" s="18" t="s">
        <v>213</v>
      </c>
      <c r="D148" s="37">
        <v>1189</v>
      </c>
      <c r="E148" s="36">
        <f t="shared" si="9"/>
        <v>455</v>
      </c>
      <c r="F148" s="18" t="str">
        <f t="shared" si="10"/>
        <v>답</v>
      </c>
      <c r="G148" s="30">
        <v>1210.0999999999999</v>
      </c>
      <c r="H148" s="38"/>
      <c r="I148" s="22">
        <v>9120</v>
      </c>
      <c r="J148" s="23">
        <f>G148-D148</f>
        <v>21.099999999999909</v>
      </c>
      <c r="K148" s="24">
        <f t="shared" si="11"/>
        <v>192430</v>
      </c>
      <c r="L148" s="25" t="str">
        <f t="shared" si="7"/>
        <v/>
      </c>
      <c r="M148" s="157" t="s">
        <v>273</v>
      </c>
      <c r="N148" s="180"/>
      <c r="O148" s="182">
        <f>K148</f>
        <v>192430</v>
      </c>
      <c r="P148" s="154"/>
      <c r="Q148" s="39" t="s">
        <v>316</v>
      </c>
      <c r="R148" s="27"/>
      <c r="S148" s="27"/>
      <c r="T148" s="43"/>
    </row>
    <row r="149" spans="1:20" ht="24" customHeight="1">
      <c r="A149" s="16">
        <v>87</v>
      </c>
      <c r="B149" s="36">
        <v>158</v>
      </c>
      <c r="C149" s="18" t="s">
        <v>223</v>
      </c>
      <c r="D149" s="37">
        <v>1131</v>
      </c>
      <c r="E149" s="36">
        <f t="shared" si="9"/>
        <v>158</v>
      </c>
      <c r="F149" s="18" t="str">
        <f t="shared" si="10"/>
        <v>전</v>
      </c>
      <c r="G149" s="30">
        <v>931.6</v>
      </c>
      <c r="H149" s="38"/>
      <c r="I149" s="22">
        <v>9320</v>
      </c>
      <c r="J149" s="23"/>
      <c r="K149" s="24"/>
      <c r="L149" s="25">
        <f t="shared" ref="L149:L205" si="12">IF(G149-D149&gt;0,"",G149-D149)</f>
        <v>-199.39999999999998</v>
      </c>
      <c r="M149" s="156">
        <f>ROUNDDOWN((-1858408),-1)</f>
        <v>-1858400</v>
      </c>
      <c r="N149" s="181"/>
      <c r="O149" s="182">
        <f>M149</f>
        <v>-1858400</v>
      </c>
      <c r="P149" s="154"/>
      <c r="Q149" s="39" t="s">
        <v>317</v>
      </c>
      <c r="R149" s="27"/>
      <c r="S149" s="27"/>
      <c r="T149" s="43"/>
    </row>
    <row r="150" spans="1:20" ht="24" customHeight="1">
      <c r="A150" s="16">
        <v>88</v>
      </c>
      <c r="B150" s="36">
        <v>252</v>
      </c>
      <c r="C150" s="18" t="s">
        <v>213</v>
      </c>
      <c r="D150" s="37">
        <v>1557</v>
      </c>
      <c r="E150" s="36">
        <f t="shared" si="9"/>
        <v>252</v>
      </c>
      <c r="F150" s="18" t="str">
        <f t="shared" si="10"/>
        <v>답</v>
      </c>
      <c r="G150" s="30">
        <v>1533.2</v>
      </c>
      <c r="H150" s="38"/>
      <c r="I150" s="22">
        <v>7890</v>
      </c>
      <c r="J150" s="23"/>
      <c r="K150" s="24"/>
      <c r="L150" s="25">
        <f t="shared" si="12"/>
        <v>-23.799999999999955</v>
      </c>
      <c r="M150" s="157">
        <f>ROUNDDOWN((-187782),-1)</f>
        <v>-187780</v>
      </c>
      <c r="N150" s="180"/>
      <c r="O150" s="182">
        <f>M150</f>
        <v>-187780</v>
      </c>
      <c r="P150" s="154"/>
      <c r="Q150" s="39" t="s">
        <v>318</v>
      </c>
      <c r="R150" s="27"/>
      <c r="S150" s="27"/>
      <c r="T150" s="43"/>
    </row>
    <row r="151" spans="1:20" ht="24" customHeight="1">
      <c r="A151" s="16">
        <v>89</v>
      </c>
      <c r="B151" s="36" t="s">
        <v>228</v>
      </c>
      <c r="C151" s="18" t="s">
        <v>213</v>
      </c>
      <c r="D151" s="37">
        <v>1068</v>
      </c>
      <c r="E151" s="36" t="str">
        <f t="shared" si="9"/>
        <v>201-1</v>
      </c>
      <c r="F151" s="18" t="str">
        <f t="shared" si="10"/>
        <v>답</v>
      </c>
      <c r="G151" s="30">
        <v>1057.4000000000001</v>
      </c>
      <c r="H151" s="38"/>
      <c r="I151" s="22">
        <v>7650</v>
      </c>
      <c r="J151" s="23"/>
      <c r="K151" s="24"/>
      <c r="L151" s="25">
        <f t="shared" si="12"/>
        <v>-10.599999999999909</v>
      </c>
      <c r="M151" s="157">
        <v>-81089.999999999302</v>
      </c>
      <c r="N151" s="180"/>
      <c r="O151" s="182">
        <f>M151</f>
        <v>-81089.999999999302</v>
      </c>
      <c r="P151" s="154"/>
      <c r="Q151" s="39" t="s">
        <v>319</v>
      </c>
      <c r="R151" s="27"/>
      <c r="S151" s="27"/>
      <c r="T151" s="43"/>
    </row>
    <row r="152" spans="1:20" ht="24" customHeight="1">
      <c r="A152" s="16"/>
      <c r="B152" s="36"/>
      <c r="C152" s="18"/>
      <c r="D152" s="37"/>
      <c r="E152" s="36"/>
      <c r="F152" s="18"/>
      <c r="G152" s="30"/>
      <c r="H152" s="38"/>
      <c r="I152" s="22"/>
      <c r="J152" s="23"/>
      <c r="K152" s="24"/>
      <c r="L152" s="25"/>
      <c r="M152" s="157"/>
      <c r="N152" s="180"/>
      <c r="O152" s="182"/>
      <c r="P152" s="154"/>
      <c r="Q152" s="39" t="s">
        <v>320</v>
      </c>
      <c r="R152" s="27"/>
      <c r="S152" s="27"/>
      <c r="T152" s="43"/>
    </row>
    <row r="153" spans="1:20" ht="24" customHeight="1">
      <c r="A153" s="16"/>
      <c r="B153" s="36"/>
      <c r="C153" s="18"/>
      <c r="D153" s="37"/>
      <c r="E153" s="36"/>
      <c r="F153" s="18"/>
      <c r="G153" s="30"/>
      <c r="H153" s="38"/>
      <c r="I153" s="22"/>
      <c r="J153" s="23"/>
      <c r="K153" s="24"/>
      <c r="L153" s="25"/>
      <c r="M153" s="157"/>
      <c r="N153" s="180"/>
      <c r="O153" s="182"/>
      <c r="P153" s="154"/>
      <c r="Q153" s="39" t="s">
        <v>321</v>
      </c>
      <c r="R153" s="27"/>
      <c r="S153" s="27"/>
      <c r="T153" s="43"/>
    </row>
    <row r="154" spans="1:20" ht="24" customHeight="1">
      <c r="A154" s="16"/>
      <c r="B154" s="36"/>
      <c r="C154" s="18"/>
      <c r="D154" s="37"/>
      <c r="E154" s="36"/>
      <c r="F154" s="18"/>
      <c r="G154" s="30"/>
      <c r="H154" s="38"/>
      <c r="I154" s="22"/>
      <c r="J154" s="23"/>
      <c r="K154" s="24"/>
      <c r="L154" s="25"/>
      <c r="M154" s="157"/>
      <c r="N154" s="180"/>
      <c r="O154" s="182"/>
      <c r="P154" s="154"/>
      <c r="Q154" s="39" t="s">
        <v>322</v>
      </c>
      <c r="R154" s="27"/>
      <c r="S154" s="27"/>
      <c r="T154" s="43"/>
    </row>
    <row r="155" spans="1:20" ht="24" customHeight="1">
      <c r="A155" s="16">
        <v>90</v>
      </c>
      <c r="B155" s="36" t="s">
        <v>229</v>
      </c>
      <c r="C155" s="18" t="s">
        <v>213</v>
      </c>
      <c r="D155" s="37">
        <v>1977</v>
      </c>
      <c r="E155" s="36" t="str">
        <f t="shared" si="9"/>
        <v>253-2</v>
      </c>
      <c r="F155" s="18" t="str">
        <f t="shared" si="10"/>
        <v>답</v>
      </c>
      <c r="G155" s="30">
        <v>1896.7</v>
      </c>
      <c r="H155" s="38"/>
      <c r="I155" s="79">
        <v>7890</v>
      </c>
      <c r="J155" s="23"/>
      <c r="K155" s="24"/>
      <c r="L155" s="25">
        <f t="shared" si="12"/>
        <v>-80.299999999999955</v>
      </c>
      <c r="M155" s="157">
        <f>ROUNDDOWN((-633567),-1)</f>
        <v>-633560</v>
      </c>
      <c r="N155" s="180"/>
      <c r="O155" s="182">
        <f>M155</f>
        <v>-633560</v>
      </c>
      <c r="P155" s="154" t="s">
        <v>6</v>
      </c>
      <c r="Q155" s="39" t="s">
        <v>323</v>
      </c>
      <c r="R155" s="27"/>
      <c r="S155" s="27"/>
      <c r="T155" s="80"/>
    </row>
    <row r="156" spans="1:20" ht="24" customHeight="1">
      <c r="A156" s="16"/>
      <c r="B156" s="36"/>
      <c r="C156" s="18"/>
      <c r="D156" s="37"/>
      <c r="E156" s="36"/>
      <c r="F156" s="18"/>
      <c r="G156" s="30"/>
      <c r="H156" s="38"/>
      <c r="I156" s="254"/>
      <c r="J156" s="255"/>
      <c r="K156" s="24"/>
      <c r="L156" s="25"/>
      <c r="M156" s="157"/>
      <c r="N156" s="180"/>
      <c r="O156" s="256"/>
      <c r="P156" s="257"/>
      <c r="Q156" s="258" t="s">
        <v>324</v>
      </c>
      <c r="R156" s="27"/>
      <c r="S156" s="27"/>
      <c r="T156" s="80"/>
    </row>
    <row r="157" spans="1:20" ht="24" customHeight="1">
      <c r="A157" s="16">
        <v>91</v>
      </c>
      <c r="B157" s="81">
        <v>232</v>
      </c>
      <c r="C157" s="82" t="s">
        <v>223</v>
      </c>
      <c r="D157" s="83">
        <v>1078</v>
      </c>
      <c r="E157" s="198">
        <f t="shared" si="9"/>
        <v>232</v>
      </c>
      <c r="F157" s="162" t="str">
        <f t="shared" si="10"/>
        <v>전</v>
      </c>
      <c r="G157" s="84">
        <v>1142.4000000000001</v>
      </c>
      <c r="H157" s="85"/>
      <c r="I157" s="15">
        <v>7890</v>
      </c>
      <c r="J157" s="166">
        <f>G157-D157</f>
        <v>64.400000000000091</v>
      </c>
      <c r="K157" s="167">
        <f t="shared" si="11"/>
        <v>508110</v>
      </c>
      <c r="L157" s="168" t="str">
        <f t="shared" si="12"/>
        <v/>
      </c>
      <c r="M157" s="169" t="s">
        <v>273</v>
      </c>
      <c r="N157" s="179"/>
      <c r="O157" s="182">
        <f>K157</f>
        <v>508110</v>
      </c>
      <c r="P157" s="170" t="s">
        <v>6</v>
      </c>
      <c r="Q157" s="86" t="s">
        <v>325</v>
      </c>
      <c r="R157" s="87"/>
      <c r="S157" s="87"/>
      <c r="T157" s="87"/>
    </row>
    <row r="158" spans="1:20" ht="24" customHeight="1">
      <c r="A158" s="16">
        <v>92</v>
      </c>
      <c r="B158" s="88" t="s">
        <v>230</v>
      </c>
      <c r="C158" s="89" t="s">
        <v>223</v>
      </c>
      <c r="D158" s="90">
        <v>1319</v>
      </c>
      <c r="E158" s="36" t="str">
        <f t="shared" si="9"/>
        <v>478-2</v>
      </c>
      <c r="F158" s="18" t="str">
        <f t="shared" si="10"/>
        <v>전</v>
      </c>
      <c r="G158" s="91">
        <v>1385.8</v>
      </c>
      <c r="H158" s="92"/>
      <c r="I158" s="22">
        <v>9120</v>
      </c>
      <c r="J158" s="23">
        <f>G158-D158</f>
        <v>66.799999999999955</v>
      </c>
      <c r="K158" s="24">
        <f t="shared" si="11"/>
        <v>609210</v>
      </c>
      <c r="L158" s="25" t="str">
        <f t="shared" si="12"/>
        <v/>
      </c>
      <c r="M158" s="157" t="s">
        <v>273</v>
      </c>
      <c r="N158" s="180"/>
      <c r="O158" s="182">
        <f>K158</f>
        <v>609210</v>
      </c>
      <c r="P158" s="154" t="s">
        <v>6</v>
      </c>
      <c r="Q158" s="93" t="s">
        <v>326</v>
      </c>
      <c r="R158" s="94"/>
      <c r="S158" s="94"/>
      <c r="T158" s="94"/>
    </row>
    <row r="159" spans="1:20" ht="24" customHeight="1">
      <c r="A159" s="16">
        <v>93</v>
      </c>
      <c r="B159" s="88">
        <v>210</v>
      </c>
      <c r="C159" s="89" t="s">
        <v>223</v>
      </c>
      <c r="D159" s="90">
        <v>641</v>
      </c>
      <c r="E159" s="36">
        <f t="shared" si="9"/>
        <v>210</v>
      </c>
      <c r="F159" s="18" t="str">
        <f t="shared" si="10"/>
        <v>전</v>
      </c>
      <c r="G159" s="91">
        <v>698</v>
      </c>
      <c r="H159" s="92"/>
      <c r="I159" s="22">
        <v>7650</v>
      </c>
      <c r="J159" s="23">
        <f>G159-D159</f>
        <v>57</v>
      </c>
      <c r="K159" s="24">
        <f t="shared" si="11"/>
        <v>436050</v>
      </c>
      <c r="L159" s="25" t="str">
        <f t="shared" si="12"/>
        <v/>
      </c>
      <c r="M159" s="157" t="s">
        <v>273</v>
      </c>
      <c r="N159" s="180"/>
      <c r="O159" s="182">
        <f>K159</f>
        <v>436050</v>
      </c>
      <c r="P159" s="154" t="s">
        <v>6</v>
      </c>
      <c r="Q159" s="93" t="s">
        <v>327</v>
      </c>
      <c r="R159" s="94"/>
      <c r="S159" s="94"/>
      <c r="T159" s="94"/>
    </row>
    <row r="160" spans="1:20" ht="24" customHeight="1">
      <c r="A160" s="16">
        <v>94</v>
      </c>
      <c r="B160" s="88">
        <v>88</v>
      </c>
      <c r="C160" s="89" t="s">
        <v>223</v>
      </c>
      <c r="D160" s="90">
        <v>2188</v>
      </c>
      <c r="E160" s="36">
        <f t="shared" si="9"/>
        <v>88</v>
      </c>
      <c r="F160" s="18" t="str">
        <f t="shared" si="10"/>
        <v>전</v>
      </c>
      <c r="G160" s="91">
        <v>2287</v>
      </c>
      <c r="H160" s="92"/>
      <c r="I160" s="22">
        <v>5890</v>
      </c>
      <c r="J160" s="23">
        <f>G160-D160</f>
        <v>99</v>
      </c>
      <c r="K160" s="24">
        <f t="shared" si="11"/>
        <v>583110</v>
      </c>
      <c r="L160" s="25" t="str">
        <f t="shared" si="12"/>
        <v/>
      </c>
      <c r="M160" s="157" t="s">
        <v>273</v>
      </c>
      <c r="N160" s="180"/>
      <c r="O160" s="182">
        <f>K160</f>
        <v>583110</v>
      </c>
      <c r="P160" s="154" t="s">
        <v>6</v>
      </c>
      <c r="Q160" s="93" t="s">
        <v>328</v>
      </c>
      <c r="R160" s="94"/>
      <c r="S160" s="94"/>
      <c r="T160" s="94"/>
    </row>
    <row r="161" spans="1:20" ht="24" customHeight="1">
      <c r="A161" s="16">
        <v>95</v>
      </c>
      <c r="B161" s="95">
        <v>206</v>
      </c>
      <c r="C161" s="89" t="s">
        <v>213</v>
      </c>
      <c r="D161" s="96">
        <v>2238</v>
      </c>
      <c r="E161" s="36">
        <f t="shared" si="9"/>
        <v>206</v>
      </c>
      <c r="F161" s="18" t="str">
        <f t="shared" si="10"/>
        <v>답</v>
      </c>
      <c r="G161" s="89">
        <v>2296.9</v>
      </c>
      <c r="H161" s="97"/>
      <c r="I161" s="22">
        <v>7650</v>
      </c>
      <c r="J161" s="23">
        <f>G161-D161</f>
        <v>58.900000000000091</v>
      </c>
      <c r="K161" s="24">
        <f t="shared" si="11"/>
        <v>450580</v>
      </c>
      <c r="L161" s="25" t="str">
        <f t="shared" si="12"/>
        <v/>
      </c>
      <c r="M161" s="157" t="s">
        <v>273</v>
      </c>
      <c r="N161" s="180"/>
      <c r="O161" s="182">
        <f>K161</f>
        <v>450580</v>
      </c>
      <c r="P161" s="154" t="s">
        <v>6</v>
      </c>
      <c r="Q161" s="98" t="s">
        <v>329</v>
      </c>
      <c r="R161" s="94"/>
      <c r="S161" s="94"/>
      <c r="T161" s="94"/>
    </row>
    <row r="162" spans="1:20" ht="24" customHeight="1">
      <c r="A162" s="16">
        <v>96</v>
      </c>
      <c r="B162" s="95">
        <v>94</v>
      </c>
      <c r="C162" s="89" t="s">
        <v>223</v>
      </c>
      <c r="D162" s="96">
        <v>1620</v>
      </c>
      <c r="E162" s="36">
        <f t="shared" si="9"/>
        <v>94</v>
      </c>
      <c r="F162" s="18" t="str">
        <f t="shared" si="10"/>
        <v>전</v>
      </c>
      <c r="G162" s="89">
        <v>1583.7</v>
      </c>
      <c r="H162" s="97"/>
      <c r="I162" s="22">
        <v>7920</v>
      </c>
      <c r="J162" s="23"/>
      <c r="K162" s="24"/>
      <c r="L162" s="25">
        <f t="shared" si="12"/>
        <v>-36.299999999999955</v>
      </c>
      <c r="M162" s="157">
        <f>ROUNDDOWN((-287496),-1)</f>
        <v>-287490</v>
      </c>
      <c r="N162" s="180"/>
      <c r="O162" s="182">
        <f>M162</f>
        <v>-287490</v>
      </c>
      <c r="P162" s="154" t="s">
        <v>6</v>
      </c>
      <c r="Q162" s="98" t="s">
        <v>330</v>
      </c>
      <c r="R162" s="94"/>
      <c r="S162" s="94"/>
      <c r="T162" s="94"/>
    </row>
    <row r="163" spans="1:20" ht="24" customHeight="1">
      <c r="A163" s="16">
        <v>97</v>
      </c>
      <c r="B163" s="95" t="s">
        <v>231</v>
      </c>
      <c r="C163" s="89" t="s">
        <v>213</v>
      </c>
      <c r="D163" s="96">
        <v>598</v>
      </c>
      <c r="E163" s="36" t="str">
        <f t="shared" si="9"/>
        <v>411-3</v>
      </c>
      <c r="F163" s="18" t="str">
        <f t="shared" si="10"/>
        <v>답</v>
      </c>
      <c r="G163" s="89">
        <v>639.79999999999995</v>
      </c>
      <c r="H163" s="21"/>
      <c r="I163" s="22">
        <v>9720</v>
      </c>
      <c r="J163" s="23">
        <f>G163-D163</f>
        <v>41.799999999999955</v>
      </c>
      <c r="K163" s="24">
        <f t="shared" si="11"/>
        <v>406290</v>
      </c>
      <c r="L163" s="25" t="str">
        <f t="shared" si="12"/>
        <v/>
      </c>
      <c r="M163" s="157" t="s">
        <v>273</v>
      </c>
      <c r="N163" s="180"/>
      <c r="O163" s="182">
        <f>K163</f>
        <v>406290</v>
      </c>
      <c r="P163" s="154" t="s">
        <v>6</v>
      </c>
      <c r="Q163" s="98" t="s">
        <v>331</v>
      </c>
      <c r="R163" s="94"/>
      <c r="S163" s="94"/>
      <c r="T163" s="94"/>
    </row>
    <row r="164" spans="1:20" ht="24" customHeight="1">
      <c r="A164" s="16">
        <v>98</v>
      </c>
      <c r="B164" s="95">
        <v>92</v>
      </c>
      <c r="C164" s="89" t="s">
        <v>232</v>
      </c>
      <c r="D164" s="96">
        <v>469</v>
      </c>
      <c r="E164" s="36">
        <f t="shared" si="9"/>
        <v>92</v>
      </c>
      <c r="F164" s="18" t="str">
        <f t="shared" si="10"/>
        <v>묘지</v>
      </c>
      <c r="G164" s="89">
        <v>540.29999999999995</v>
      </c>
      <c r="H164" s="21"/>
      <c r="I164" s="22">
        <v>1660</v>
      </c>
      <c r="J164" s="23">
        <f>G164-D164</f>
        <v>71.299999999999955</v>
      </c>
      <c r="K164" s="24">
        <f t="shared" si="11"/>
        <v>118350</v>
      </c>
      <c r="L164" s="25" t="str">
        <f t="shared" si="12"/>
        <v/>
      </c>
      <c r="M164" s="157" t="s">
        <v>273</v>
      </c>
      <c r="N164" s="180"/>
      <c r="O164" s="182">
        <f>K164</f>
        <v>118350</v>
      </c>
      <c r="P164" s="154" t="s">
        <v>6</v>
      </c>
      <c r="Q164" s="98" t="s">
        <v>332</v>
      </c>
      <c r="R164" s="94"/>
      <c r="S164" s="94"/>
      <c r="T164" s="94"/>
    </row>
    <row r="165" spans="1:20" ht="24" customHeight="1">
      <c r="A165" s="16">
        <v>99</v>
      </c>
      <c r="B165" s="95" t="s">
        <v>233</v>
      </c>
      <c r="C165" s="89" t="s">
        <v>223</v>
      </c>
      <c r="D165" s="96">
        <v>1127</v>
      </c>
      <c r="E165" s="36" t="str">
        <f t="shared" si="9"/>
        <v>199-1</v>
      </c>
      <c r="F165" s="18" t="str">
        <f t="shared" si="10"/>
        <v>전</v>
      </c>
      <c r="G165" s="89">
        <v>1169.2</v>
      </c>
      <c r="H165" s="21"/>
      <c r="I165" s="22">
        <v>7650</v>
      </c>
      <c r="J165" s="23">
        <f>G165-D165</f>
        <v>42.200000000000045</v>
      </c>
      <c r="K165" s="24">
        <f t="shared" si="11"/>
        <v>322830</v>
      </c>
      <c r="L165" s="25" t="str">
        <f t="shared" si="12"/>
        <v/>
      </c>
      <c r="M165" s="157" t="s">
        <v>273</v>
      </c>
      <c r="N165" s="180"/>
      <c r="O165" s="182">
        <f>K165</f>
        <v>322830</v>
      </c>
      <c r="P165" s="154" t="s">
        <v>6</v>
      </c>
      <c r="Q165" s="98" t="s">
        <v>333</v>
      </c>
      <c r="R165" s="94"/>
      <c r="S165" s="94"/>
      <c r="T165" s="94"/>
    </row>
    <row r="166" spans="1:20" ht="24" customHeight="1">
      <c r="A166" s="16">
        <v>100</v>
      </c>
      <c r="B166" s="95">
        <v>179</v>
      </c>
      <c r="C166" s="89" t="s">
        <v>213</v>
      </c>
      <c r="D166" s="96">
        <v>664</v>
      </c>
      <c r="E166" s="36">
        <f t="shared" si="9"/>
        <v>179</v>
      </c>
      <c r="F166" s="18" t="str">
        <f t="shared" si="10"/>
        <v>답</v>
      </c>
      <c r="G166" s="89">
        <v>641</v>
      </c>
      <c r="H166" s="21"/>
      <c r="I166" s="22">
        <v>5890</v>
      </c>
      <c r="J166" s="23"/>
      <c r="K166" s="24"/>
      <c r="L166" s="25">
        <f t="shared" si="12"/>
        <v>-23</v>
      </c>
      <c r="M166" s="157">
        <v>-135470</v>
      </c>
      <c r="N166" s="180"/>
      <c r="O166" s="182">
        <f>M166</f>
        <v>-135470</v>
      </c>
      <c r="P166" s="154" t="s">
        <v>6</v>
      </c>
      <c r="Q166" s="98" t="s">
        <v>334</v>
      </c>
      <c r="R166" s="94"/>
      <c r="S166" s="94"/>
      <c r="T166" s="94"/>
    </row>
    <row r="167" spans="1:20" s="4" customFormat="1" ht="24" customHeight="1">
      <c r="A167" s="16">
        <v>101</v>
      </c>
      <c r="B167" s="99">
        <v>202</v>
      </c>
      <c r="C167" s="89" t="s">
        <v>213</v>
      </c>
      <c r="D167" s="100">
        <v>1157</v>
      </c>
      <c r="E167" s="36">
        <f t="shared" si="9"/>
        <v>202</v>
      </c>
      <c r="F167" s="18" t="str">
        <f t="shared" si="10"/>
        <v>답</v>
      </c>
      <c r="G167" s="91">
        <v>1112.5999999999999</v>
      </c>
      <c r="H167" s="21"/>
      <c r="I167" s="252">
        <v>7650</v>
      </c>
      <c r="J167" s="23"/>
      <c r="K167" s="24"/>
      <c r="L167" s="25">
        <f t="shared" si="12"/>
        <v>-44.400000000000091</v>
      </c>
      <c r="M167" s="157">
        <v>-339660.0000000007</v>
      </c>
      <c r="N167" s="180"/>
      <c r="O167" s="182">
        <f>M167</f>
        <v>-339660.0000000007</v>
      </c>
      <c r="P167" s="154" t="s">
        <v>6</v>
      </c>
      <c r="Q167" s="101" t="s">
        <v>335</v>
      </c>
      <c r="R167" s="94"/>
      <c r="S167" s="94"/>
      <c r="T167" s="94"/>
    </row>
    <row r="168" spans="1:20" s="4" customFormat="1" ht="24" customHeight="1">
      <c r="A168" s="16"/>
      <c r="B168" s="99"/>
      <c r="C168" s="89"/>
      <c r="D168" s="100"/>
      <c r="E168" s="36"/>
      <c r="F168" s="18"/>
      <c r="G168" s="91"/>
      <c r="H168" s="21"/>
      <c r="I168" s="252"/>
      <c r="J168" s="23"/>
      <c r="K168" s="24"/>
      <c r="L168" s="25"/>
      <c r="M168" s="157"/>
      <c r="N168" s="180"/>
      <c r="O168" s="182"/>
      <c r="P168" s="154"/>
      <c r="Q168" s="101" t="s">
        <v>336</v>
      </c>
      <c r="R168" s="94"/>
      <c r="S168" s="94"/>
      <c r="T168" s="94"/>
    </row>
    <row r="169" spans="1:20" s="4" customFormat="1" ht="24" customHeight="1">
      <c r="A169" s="16"/>
      <c r="B169" s="99"/>
      <c r="C169" s="89"/>
      <c r="D169" s="100"/>
      <c r="E169" s="36"/>
      <c r="F169" s="18"/>
      <c r="G169" s="91"/>
      <c r="H169" s="21"/>
      <c r="I169" s="252"/>
      <c r="J169" s="23"/>
      <c r="K169" s="24"/>
      <c r="L169" s="25"/>
      <c r="M169" s="157"/>
      <c r="N169" s="180"/>
      <c r="O169" s="182"/>
      <c r="P169" s="154"/>
      <c r="Q169" s="101" t="s">
        <v>337</v>
      </c>
      <c r="R169" s="94"/>
      <c r="S169" s="94"/>
      <c r="T169" s="94"/>
    </row>
    <row r="170" spans="1:20" ht="24" customHeight="1">
      <c r="A170" s="16">
        <v>102</v>
      </c>
      <c r="B170" s="102">
        <v>227</v>
      </c>
      <c r="C170" s="89" t="s">
        <v>223</v>
      </c>
      <c r="D170" s="103">
        <v>1001</v>
      </c>
      <c r="E170" s="36">
        <f t="shared" si="9"/>
        <v>227</v>
      </c>
      <c r="F170" s="18" t="str">
        <f t="shared" si="10"/>
        <v>전</v>
      </c>
      <c r="G170" s="104">
        <v>1080.5</v>
      </c>
      <c r="H170" s="21"/>
      <c r="I170" s="105">
        <v>9320</v>
      </c>
      <c r="J170" s="23">
        <f>G170-D170</f>
        <v>79.5</v>
      </c>
      <c r="K170" s="24">
        <f t="shared" si="11"/>
        <v>740940</v>
      </c>
      <c r="L170" s="25" t="str">
        <f t="shared" si="12"/>
        <v/>
      </c>
      <c r="M170" s="157" t="s">
        <v>273</v>
      </c>
      <c r="N170" s="180"/>
      <c r="O170" s="182">
        <f>K170</f>
        <v>740940</v>
      </c>
      <c r="P170" s="154" t="s">
        <v>6</v>
      </c>
      <c r="Q170" s="106" t="s">
        <v>338</v>
      </c>
      <c r="R170" s="94"/>
      <c r="S170" s="94"/>
      <c r="T170" s="94"/>
    </row>
    <row r="171" spans="1:20" ht="24" customHeight="1">
      <c r="A171" s="16">
        <v>103</v>
      </c>
      <c r="B171" s="107" t="s">
        <v>234</v>
      </c>
      <c r="C171" s="89" t="s">
        <v>223</v>
      </c>
      <c r="D171" s="108">
        <v>631</v>
      </c>
      <c r="E171" s="36" t="str">
        <f t="shared" si="9"/>
        <v>215-1</v>
      </c>
      <c r="F171" s="18" t="str">
        <f t="shared" si="10"/>
        <v>전</v>
      </c>
      <c r="G171" s="104">
        <v>696.6</v>
      </c>
      <c r="H171" s="97"/>
      <c r="I171" s="22">
        <v>4480</v>
      </c>
      <c r="J171" s="23">
        <f>G171-D171</f>
        <v>65.600000000000023</v>
      </c>
      <c r="K171" s="24">
        <f t="shared" si="11"/>
        <v>293880</v>
      </c>
      <c r="L171" s="25" t="str">
        <f t="shared" si="12"/>
        <v/>
      </c>
      <c r="M171" s="157" t="s">
        <v>273</v>
      </c>
      <c r="N171" s="180"/>
      <c r="O171" s="182">
        <f>K171</f>
        <v>293880</v>
      </c>
      <c r="P171" s="154" t="s">
        <v>6</v>
      </c>
      <c r="Q171" s="109" t="s">
        <v>339</v>
      </c>
      <c r="R171" s="94"/>
      <c r="S171" s="94"/>
      <c r="T171" s="94"/>
    </row>
    <row r="172" spans="1:20" ht="24" customHeight="1">
      <c r="A172" s="16">
        <v>104</v>
      </c>
      <c r="B172" s="110">
        <v>245</v>
      </c>
      <c r="C172" s="89" t="s">
        <v>213</v>
      </c>
      <c r="D172" s="111">
        <v>1709</v>
      </c>
      <c r="E172" s="36">
        <f t="shared" si="9"/>
        <v>245</v>
      </c>
      <c r="F172" s="18" t="str">
        <f t="shared" si="10"/>
        <v>답</v>
      </c>
      <c r="G172" s="104">
        <v>1763.8</v>
      </c>
      <c r="H172" s="112"/>
      <c r="I172" s="22">
        <v>7890</v>
      </c>
      <c r="J172" s="23">
        <f>G172-D172</f>
        <v>54.799999999999955</v>
      </c>
      <c r="K172" s="24">
        <f t="shared" si="11"/>
        <v>432370</v>
      </c>
      <c r="L172" s="25" t="str">
        <f t="shared" si="12"/>
        <v/>
      </c>
      <c r="M172" s="157" t="s">
        <v>273</v>
      </c>
      <c r="N172" s="180"/>
      <c r="O172" s="182">
        <f>K172</f>
        <v>432370</v>
      </c>
      <c r="P172" s="154" t="s">
        <v>6</v>
      </c>
      <c r="Q172" s="113" t="s">
        <v>340</v>
      </c>
      <c r="R172" s="94"/>
      <c r="S172" s="94"/>
      <c r="T172" s="94"/>
    </row>
    <row r="173" spans="1:20" ht="24" customHeight="1">
      <c r="A173" s="16">
        <v>105</v>
      </c>
      <c r="B173" s="110">
        <v>312</v>
      </c>
      <c r="C173" s="89" t="s">
        <v>213</v>
      </c>
      <c r="D173" s="111">
        <v>3468</v>
      </c>
      <c r="E173" s="36">
        <f t="shared" si="9"/>
        <v>312</v>
      </c>
      <c r="F173" s="18" t="str">
        <f t="shared" si="10"/>
        <v>답</v>
      </c>
      <c r="G173" s="111">
        <v>3484.3</v>
      </c>
      <c r="H173" s="112"/>
      <c r="I173" s="22">
        <v>7890</v>
      </c>
      <c r="J173" s="23">
        <f>G173-D173</f>
        <v>16.300000000000182</v>
      </c>
      <c r="K173" s="24">
        <f t="shared" si="11"/>
        <v>128600</v>
      </c>
      <c r="L173" s="25" t="str">
        <f t="shared" si="12"/>
        <v/>
      </c>
      <c r="M173" s="157" t="s">
        <v>273</v>
      </c>
      <c r="N173" s="180"/>
      <c r="O173" s="182">
        <f>K173</f>
        <v>128600</v>
      </c>
      <c r="P173" s="154" t="s">
        <v>6</v>
      </c>
      <c r="Q173" s="113" t="s">
        <v>341</v>
      </c>
      <c r="R173" s="94"/>
      <c r="S173" s="94"/>
      <c r="T173" s="94"/>
    </row>
    <row r="174" spans="1:20" ht="24" customHeight="1">
      <c r="A174" s="16">
        <v>106</v>
      </c>
      <c r="B174" s="110" t="s">
        <v>235</v>
      </c>
      <c r="C174" s="89" t="s">
        <v>213</v>
      </c>
      <c r="D174" s="111">
        <v>1438</v>
      </c>
      <c r="E174" s="36" t="str">
        <f t="shared" si="9"/>
        <v>187-1</v>
      </c>
      <c r="F174" s="18" t="str">
        <f t="shared" si="10"/>
        <v>답</v>
      </c>
      <c r="G174" s="111">
        <v>1374.1</v>
      </c>
      <c r="H174" s="112"/>
      <c r="I174" s="22">
        <v>7650</v>
      </c>
      <c r="J174" s="23"/>
      <c r="K174" s="24"/>
      <c r="L174" s="25">
        <f t="shared" si="12"/>
        <v>-63.900000000000091</v>
      </c>
      <c r="M174" s="157">
        <f>ROUNDDOWN((-488835.000000001),-1)</f>
        <v>-488830</v>
      </c>
      <c r="N174" s="180"/>
      <c r="O174" s="182">
        <f>M174</f>
        <v>-488830</v>
      </c>
      <c r="P174" s="154" t="s">
        <v>6</v>
      </c>
      <c r="Q174" s="113" t="s">
        <v>342</v>
      </c>
      <c r="R174" s="94"/>
      <c r="S174" s="94"/>
      <c r="T174" s="94"/>
    </row>
    <row r="175" spans="1:20" ht="24" customHeight="1">
      <c r="A175" s="16">
        <v>107</v>
      </c>
      <c r="B175" s="110" t="s">
        <v>236</v>
      </c>
      <c r="C175" s="89" t="s">
        <v>223</v>
      </c>
      <c r="D175" s="111">
        <v>2040</v>
      </c>
      <c r="E175" s="36" t="str">
        <f t="shared" si="9"/>
        <v>495-1</v>
      </c>
      <c r="F175" s="18" t="str">
        <f t="shared" si="10"/>
        <v>전</v>
      </c>
      <c r="G175" s="111">
        <v>2005</v>
      </c>
      <c r="H175" s="112"/>
      <c r="I175" s="22">
        <v>9720</v>
      </c>
      <c r="J175" s="23"/>
      <c r="K175" s="24"/>
      <c r="L175" s="25">
        <f t="shared" si="12"/>
        <v>-35</v>
      </c>
      <c r="M175" s="157">
        <v>-340200</v>
      </c>
      <c r="N175" s="180"/>
      <c r="O175" s="182">
        <f>M175</f>
        <v>-340200</v>
      </c>
      <c r="P175" s="154" t="s">
        <v>6</v>
      </c>
      <c r="Q175" s="113" t="s">
        <v>343</v>
      </c>
      <c r="R175" s="94"/>
      <c r="S175" s="94"/>
      <c r="T175" s="94"/>
    </row>
    <row r="176" spans="1:20" ht="24" customHeight="1">
      <c r="A176" s="16">
        <v>108</v>
      </c>
      <c r="B176" s="110" t="s">
        <v>237</v>
      </c>
      <c r="C176" s="89" t="s">
        <v>213</v>
      </c>
      <c r="D176" s="111">
        <v>2261</v>
      </c>
      <c r="E176" s="36" t="str">
        <f t="shared" si="9"/>
        <v>218-1</v>
      </c>
      <c r="F176" s="18" t="str">
        <f t="shared" si="10"/>
        <v>답</v>
      </c>
      <c r="G176" s="111">
        <v>2085.5</v>
      </c>
      <c r="H176" s="112"/>
      <c r="I176" s="22">
        <v>7890</v>
      </c>
      <c r="J176" s="23"/>
      <c r="K176" s="24"/>
      <c r="L176" s="25">
        <f t="shared" si="12"/>
        <v>-175.5</v>
      </c>
      <c r="M176" s="156">
        <f>ROUNDDOWN((-1384695),-1)</f>
        <v>-1384690</v>
      </c>
      <c r="N176" s="181"/>
      <c r="O176" s="182">
        <f>M176</f>
        <v>-1384690</v>
      </c>
      <c r="P176" s="154" t="s">
        <v>6</v>
      </c>
      <c r="Q176" s="113" t="s">
        <v>344</v>
      </c>
      <c r="R176" s="94"/>
      <c r="S176" s="94"/>
      <c r="T176" s="94"/>
    </row>
    <row r="177" spans="1:20" ht="24" customHeight="1">
      <c r="A177" s="16">
        <v>109</v>
      </c>
      <c r="B177" s="110">
        <v>192</v>
      </c>
      <c r="C177" s="89" t="s">
        <v>213</v>
      </c>
      <c r="D177" s="111">
        <v>1663</v>
      </c>
      <c r="E177" s="36">
        <f t="shared" si="9"/>
        <v>192</v>
      </c>
      <c r="F177" s="18" t="str">
        <f t="shared" si="10"/>
        <v>답</v>
      </c>
      <c r="G177" s="111">
        <v>1694.4</v>
      </c>
      <c r="H177" s="112"/>
      <c r="I177" s="22">
        <v>7650</v>
      </c>
      <c r="J177" s="23">
        <f>G177-D177</f>
        <v>31.400000000000091</v>
      </c>
      <c r="K177" s="24">
        <f t="shared" si="11"/>
        <v>240210</v>
      </c>
      <c r="L177" s="25" t="str">
        <f t="shared" si="12"/>
        <v/>
      </c>
      <c r="M177" s="157" t="s">
        <v>273</v>
      </c>
      <c r="N177" s="180"/>
      <c r="O177" s="182">
        <f>K177</f>
        <v>240210</v>
      </c>
      <c r="P177" s="154"/>
      <c r="Q177" s="113" t="s">
        <v>345</v>
      </c>
      <c r="R177" s="94"/>
      <c r="S177" s="94"/>
      <c r="T177" s="94"/>
    </row>
    <row r="178" spans="1:20" ht="24" customHeight="1">
      <c r="A178" s="16">
        <v>110</v>
      </c>
      <c r="B178" s="110" t="s">
        <v>238</v>
      </c>
      <c r="C178" s="89" t="s">
        <v>223</v>
      </c>
      <c r="D178" s="111">
        <v>1629</v>
      </c>
      <c r="E178" s="36" t="str">
        <f t="shared" si="9"/>
        <v>227-5</v>
      </c>
      <c r="F178" s="18" t="str">
        <f t="shared" si="10"/>
        <v>전</v>
      </c>
      <c r="G178" s="111">
        <v>1712.5</v>
      </c>
      <c r="H178" s="112"/>
      <c r="I178" s="22">
        <v>9320</v>
      </c>
      <c r="J178" s="23">
        <f>G178-D178</f>
        <v>83.5</v>
      </c>
      <c r="K178" s="24">
        <f t="shared" si="11"/>
        <v>778220</v>
      </c>
      <c r="L178" s="25" t="str">
        <f t="shared" si="12"/>
        <v/>
      </c>
      <c r="M178" s="157" t="s">
        <v>273</v>
      </c>
      <c r="N178" s="180"/>
      <c r="O178" s="182">
        <f>K178</f>
        <v>778220</v>
      </c>
      <c r="P178" s="154"/>
      <c r="Q178" s="113" t="s">
        <v>346</v>
      </c>
      <c r="R178" s="94"/>
      <c r="S178" s="94"/>
      <c r="T178" s="94"/>
    </row>
    <row r="179" spans="1:20" ht="24" customHeight="1">
      <c r="A179" s="16">
        <v>111</v>
      </c>
      <c r="B179" s="110" t="s">
        <v>239</v>
      </c>
      <c r="C179" s="89" t="s">
        <v>223</v>
      </c>
      <c r="D179" s="111">
        <v>1815</v>
      </c>
      <c r="E179" s="36" t="str">
        <f t="shared" si="9"/>
        <v>227-6</v>
      </c>
      <c r="F179" s="18" t="str">
        <f t="shared" si="10"/>
        <v>전</v>
      </c>
      <c r="G179" s="111">
        <v>1731.5</v>
      </c>
      <c r="H179" s="112"/>
      <c r="I179" s="22">
        <v>9320</v>
      </c>
      <c r="J179" s="23"/>
      <c r="K179" s="24"/>
      <c r="L179" s="25">
        <f t="shared" si="12"/>
        <v>-83.5</v>
      </c>
      <c r="M179" s="157">
        <v>-778220</v>
      </c>
      <c r="N179" s="180"/>
      <c r="O179" s="182">
        <f>M179</f>
        <v>-778220</v>
      </c>
      <c r="P179" s="154"/>
      <c r="Q179" s="113" t="s">
        <v>347</v>
      </c>
      <c r="R179" s="94"/>
      <c r="S179" s="94"/>
      <c r="T179" s="94"/>
    </row>
    <row r="180" spans="1:20" ht="24" customHeight="1">
      <c r="A180" s="16">
        <v>112</v>
      </c>
      <c r="B180" s="110">
        <v>454</v>
      </c>
      <c r="C180" s="89" t="s">
        <v>213</v>
      </c>
      <c r="D180" s="111">
        <v>2367</v>
      </c>
      <c r="E180" s="36">
        <f t="shared" si="9"/>
        <v>454</v>
      </c>
      <c r="F180" s="18" t="str">
        <f t="shared" si="10"/>
        <v>답</v>
      </c>
      <c r="G180" s="111">
        <v>2377.8000000000002</v>
      </c>
      <c r="H180" s="112"/>
      <c r="I180" s="22">
        <v>9120</v>
      </c>
      <c r="J180" s="23">
        <f>G180-D180</f>
        <v>10.800000000000182</v>
      </c>
      <c r="K180" s="24">
        <f t="shared" si="11"/>
        <v>98490</v>
      </c>
      <c r="L180" s="25" t="str">
        <f t="shared" si="12"/>
        <v/>
      </c>
      <c r="M180" s="157" t="s">
        <v>273</v>
      </c>
      <c r="N180" s="180"/>
      <c r="O180" s="182">
        <f>K180</f>
        <v>98490</v>
      </c>
      <c r="P180" s="154"/>
      <c r="Q180" s="113" t="s">
        <v>348</v>
      </c>
      <c r="R180" s="94"/>
      <c r="S180" s="94"/>
      <c r="T180" s="94"/>
    </row>
    <row r="181" spans="1:20" ht="24" customHeight="1">
      <c r="A181" s="16">
        <v>113</v>
      </c>
      <c r="B181" s="110">
        <v>124</v>
      </c>
      <c r="C181" s="89" t="s">
        <v>223</v>
      </c>
      <c r="D181" s="111">
        <v>512</v>
      </c>
      <c r="E181" s="36">
        <f t="shared" si="9"/>
        <v>124</v>
      </c>
      <c r="F181" s="18" t="str">
        <f t="shared" si="10"/>
        <v>전</v>
      </c>
      <c r="G181" s="111">
        <v>556</v>
      </c>
      <c r="H181" s="112"/>
      <c r="I181" s="22">
        <v>8800</v>
      </c>
      <c r="J181" s="23">
        <f>G181-D181</f>
        <v>44</v>
      </c>
      <c r="K181" s="24">
        <f t="shared" si="11"/>
        <v>387200</v>
      </c>
      <c r="L181" s="25" t="str">
        <f t="shared" si="12"/>
        <v/>
      </c>
      <c r="M181" s="157" t="s">
        <v>273</v>
      </c>
      <c r="N181" s="180"/>
      <c r="O181" s="182">
        <f>K181</f>
        <v>387200</v>
      </c>
      <c r="P181" s="154"/>
      <c r="Q181" s="113" t="s">
        <v>349</v>
      </c>
      <c r="R181" s="94"/>
      <c r="S181" s="94"/>
      <c r="T181" s="94"/>
    </row>
    <row r="182" spans="1:20" ht="24" customHeight="1">
      <c r="A182" s="16">
        <v>114</v>
      </c>
      <c r="B182" s="110" t="s">
        <v>240</v>
      </c>
      <c r="C182" s="89" t="s">
        <v>223</v>
      </c>
      <c r="D182" s="111">
        <v>69</v>
      </c>
      <c r="E182" s="36" t="str">
        <f t="shared" si="9"/>
        <v>378-2</v>
      </c>
      <c r="F182" s="18" t="str">
        <f t="shared" si="10"/>
        <v>전</v>
      </c>
      <c r="G182" s="111">
        <v>44</v>
      </c>
      <c r="H182" s="112"/>
      <c r="I182" s="22">
        <v>8610</v>
      </c>
      <c r="J182" s="23"/>
      <c r="K182" s="24"/>
      <c r="L182" s="25">
        <f t="shared" si="12"/>
        <v>-25</v>
      </c>
      <c r="M182" s="157">
        <v>-215250</v>
      </c>
      <c r="N182" s="180"/>
      <c r="O182" s="182">
        <f>M182</f>
        <v>-215250</v>
      </c>
      <c r="P182" s="154"/>
      <c r="Q182" s="113" t="s">
        <v>350</v>
      </c>
      <c r="R182" s="94"/>
      <c r="S182" s="94"/>
      <c r="T182" s="94"/>
    </row>
    <row r="183" spans="1:20" ht="24" customHeight="1">
      <c r="A183" s="16">
        <v>115</v>
      </c>
      <c r="B183" s="110">
        <v>198</v>
      </c>
      <c r="C183" s="89" t="s">
        <v>223</v>
      </c>
      <c r="D183" s="111">
        <v>2248</v>
      </c>
      <c r="E183" s="36">
        <f t="shared" si="9"/>
        <v>198</v>
      </c>
      <c r="F183" s="18" t="str">
        <f t="shared" si="10"/>
        <v>전</v>
      </c>
      <c r="G183" s="111">
        <v>2334</v>
      </c>
      <c r="H183" s="112"/>
      <c r="I183" s="22">
        <v>8400</v>
      </c>
      <c r="J183" s="23">
        <f>G183-D183</f>
        <v>86</v>
      </c>
      <c r="K183" s="24">
        <f t="shared" si="11"/>
        <v>722400</v>
      </c>
      <c r="L183" s="25" t="str">
        <f t="shared" si="12"/>
        <v/>
      </c>
      <c r="M183" s="157" t="s">
        <v>273</v>
      </c>
      <c r="N183" s="180"/>
      <c r="O183" s="182">
        <f>K183</f>
        <v>722400</v>
      </c>
      <c r="P183" s="154"/>
      <c r="Q183" s="113" t="s">
        <v>351</v>
      </c>
      <c r="R183" s="94"/>
      <c r="S183" s="94"/>
      <c r="T183" s="94"/>
    </row>
    <row r="184" spans="1:20" ht="24" customHeight="1">
      <c r="A184" s="16">
        <v>116</v>
      </c>
      <c r="B184" s="110" t="s">
        <v>241</v>
      </c>
      <c r="C184" s="89" t="s">
        <v>223</v>
      </c>
      <c r="D184" s="111">
        <v>2218</v>
      </c>
      <c r="E184" s="36" t="str">
        <f t="shared" si="9"/>
        <v>199-2</v>
      </c>
      <c r="F184" s="18" t="str">
        <f t="shared" si="10"/>
        <v>전</v>
      </c>
      <c r="G184" s="111">
        <v>1967.7</v>
      </c>
      <c r="H184" s="112"/>
      <c r="I184" s="22">
        <v>8400</v>
      </c>
      <c r="J184" s="23"/>
      <c r="K184" s="24"/>
      <c r="L184" s="25">
        <f t="shared" si="12"/>
        <v>-250.29999999999995</v>
      </c>
      <c r="M184" s="156">
        <v>-2102520</v>
      </c>
      <c r="N184" s="181"/>
      <c r="O184" s="182">
        <f>M184</f>
        <v>-2102520</v>
      </c>
      <c r="P184" s="154"/>
      <c r="Q184" s="113" t="s">
        <v>352</v>
      </c>
      <c r="R184" s="94"/>
      <c r="S184" s="94"/>
      <c r="T184" s="94"/>
    </row>
    <row r="185" spans="1:20" ht="24" customHeight="1">
      <c r="A185" s="16">
        <v>117</v>
      </c>
      <c r="B185" s="110" t="s">
        <v>242</v>
      </c>
      <c r="C185" s="89" t="s">
        <v>243</v>
      </c>
      <c r="D185" s="111">
        <v>866</v>
      </c>
      <c r="E185" s="36" t="str">
        <f t="shared" si="9"/>
        <v>317-2</v>
      </c>
      <c r="F185" s="18" t="str">
        <f t="shared" si="10"/>
        <v>임야</v>
      </c>
      <c r="G185" s="111">
        <v>810</v>
      </c>
      <c r="H185" s="112"/>
      <c r="I185" s="22">
        <v>726</v>
      </c>
      <c r="J185" s="23"/>
      <c r="K185" s="24"/>
      <c r="L185" s="25">
        <f t="shared" si="12"/>
        <v>-56</v>
      </c>
      <c r="M185" s="157">
        <f>ROUNDDOWN((-40656),-1)</f>
        <v>-40650</v>
      </c>
      <c r="N185" s="180"/>
      <c r="O185" s="182">
        <f>M185</f>
        <v>-40650</v>
      </c>
      <c r="P185" s="154"/>
      <c r="Q185" s="113" t="s">
        <v>353</v>
      </c>
      <c r="R185" s="94"/>
      <c r="S185" s="94"/>
      <c r="T185" s="94"/>
    </row>
    <row r="186" spans="1:20" ht="24" customHeight="1">
      <c r="A186" s="16">
        <v>118</v>
      </c>
      <c r="B186" s="110" t="s">
        <v>244</v>
      </c>
      <c r="C186" s="89" t="s">
        <v>213</v>
      </c>
      <c r="D186" s="111">
        <v>1036</v>
      </c>
      <c r="E186" s="36" t="str">
        <f t="shared" si="9"/>
        <v>724-4</v>
      </c>
      <c r="F186" s="18" t="str">
        <f t="shared" si="10"/>
        <v>답</v>
      </c>
      <c r="G186" s="111">
        <v>1149</v>
      </c>
      <c r="H186" s="112"/>
      <c r="I186" s="22">
        <v>8400</v>
      </c>
      <c r="J186" s="23">
        <f>G186-D186</f>
        <v>113</v>
      </c>
      <c r="K186" s="24">
        <f t="shared" si="11"/>
        <v>949200</v>
      </c>
      <c r="L186" s="25" t="str">
        <f t="shared" si="12"/>
        <v/>
      </c>
      <c r="M186" s="157" t="s">
        <v>273</v>
      </c>
      <c r="N186" s="180"/>
      <c r="O186" s="182">
        <f>K186</f>
        <v>949200</v>
      </c>
      <c r="P186" s="154"/>
      <c r="Q186" s="113" t="s">
        <v>354</v>
      </c>
      <c r="R186" s="94"/>
      <c r="S186" s="94"/>
      <c r="T186" s="94"/>
    </row>
    <row r="187" spans="1:20" ht="24" customHeight="1">
      <c r="A187" s="16">
        <v>119</v>
      </c>
      <c r="B187" s="110">
        <v>473</v>
      </c>
      <c r="C187" s="89" t="s">
        <v>213</v>
      </c>
      <c r="D187" s="111">
        <v>2778</v>
      </c>
      <c r="E187" s="36">
        <f t="shared" si="9"/>
        <v>473</v>
      </c>
      <c r="F187" s="18" t="str">
        <f t="shared" si="10"/>
        <v>답</v>
      </c>
      <c r="G187" s="111">
        <v>2829.8</v>
      </c>
      <c r="H187" s="112"/>
      <c r="I187" s="22">
        <v>9120</v>
      </c>
      <c r="J187" s="23">
        <f>G187-D187</f>
        <v>51.800000000000182</v>
      </c>
      <c r="K187" s="24">
        <f t="shared" si="11"/>
        <v>472410</v>
      </c>
      <c r="L187" s="25" t="str">
        <f t="shared" si="12"/>
        <v/>
      </c>
      <c r="M187" s="157" t="s">
        <v>273</v>
      </c>
      <c r="N187" s="180"/>
      <c r="O187" s="182">
        <f>K187</f>
        <v>472410</v>
      </c>
      <c r="P187" s="154"/>
      <c r="Q187" s="113" t="s">
        <v>355</v>
      </c>
      <c r="R187" s="94"/>
      <c r="S187" s="94"/>
      <c r="T187" s="94"/>
    </row>
    <row r="188" spans="1:20" ht="24" customHeight="1">
      <c r="A188" s="16">
        <v>120</v>
      </c>
      <c r="B188" s="114" t="s">
        <v>245</v>
      </c>
      <c r="C188" s="89" t="s">
        <v>223</v>
      </c>
      <c r="D188" s="111">
        <v>823</v>
      </c>
      <c r="E188" s="36" t="str">
        <f t="shared" si="9"/>
        <v>84-1</v>
      </c>
      <c r="F188" s="18" t="str">
        <f t="shared" si="10"/>
        <v>전</v>
      </c>
      <c r="G188" s="111">
        <v>841.6</v>
      </c>
      <c r="H188" s="112"/>
      <c r="I188" s="22">
        <v>8800</v>
      </c>
      <c r="J188" s="23">
        <f>G188-D188</f>
        <v>18.600000000000023</v>
      </c>
      <c r="K188" s="24">
        <f t="shared" si="11"/>
        <v>163680</v>
      </c>
      <c r="L188" s="25" t="str">
        <f t="shared" si="12"/>
        <v/>
      </c>
      <c r="M188" s="157" t="s">
        <v>273</v>
      </c>
      <c r="N188" s="180"/>
      <c r="O188" s="182">
        <f>K188</f>
        <v>163680</v>
      </c>
      <c r="P188" s="154"/>
      <c r="Q188" s="113" t="s">
        <v>356</v>
      </c>
      <c r="R188" s="94"/>
      <c r="S188" s="94"/>
      <c r="T188" s="94"/>
    </row>
    <row r="189" spans="1:20" ht="24" customHeight="1">
      <c r="A189" s="16"/>
      <c r="B189" s="114"/>
      <c r="C189" s="89"/>
      <c r="D189" s="111"/>
      <c r="E189" s="36"/>
      <c r="F189" s="18"/>
      <c r="G189" s="111"/>
      <c r="H189" s="112"/>
      <c r="I189" s="22"/>
      <c r="J189" s="23"/>
      <c r="K189" s="24"/>
      <c r="L189" s="25"/>
      <c r="M189" s="157"/>
      <c r="N189" s="180"/>
      <c r="O189" s="182"/>
      <c r="P189" s="154"/>
      <c r="Q189" s="113" t="s">
        <v>357</v>
      </c>
      <c r="R189" s="94"/>
      <c r="S189" s="94"/>
      <c r="T189" s="94"/>
    </row>
    <row r="190" spans="1:20" ht="24" customHeight="1">
      <c r="A190" s="16">
        <v>121</v>
      </c>
      <c r="B190" s="110" t="s">
        <v>246</v>
      </c>
      <c r="C190" s="89" t="s">
        <v>223</v>
      </c>
      <c r="D190" s="111">
        <v>4046</v>
      </c>
      <c r="E190" s="36" t="str">
        <f t="shared" si="9"/>
        <v>384-2</v>
      </c>
      <c r="F190" s="18" t="str">
        <f t="shared" si="10"/>
        <v>전</v>
      </c>
      <c r="G190" s="111">
        <v>3869.2</v>
      </c>
      <c r="H190" s="112"/>
      <c r="I190" s="22">
        <v>8610</v>
      </c>
      <c r="J190" s="23"/>
      <c r="K190" s="24"/>
      <c r="L190" s="25">
        <f t="shared" si="12"/>
        <v>-176.80000000000018</v>
      </c>
      <c r="M190" s="156">
        <f>ROUNDDOWN((-1522248),-1)</f>
        <v>-1522240</v>
      </c>
      <c r="N190" s="181"/>
      <c r="O190" s="182">
        <f>M190</f>
        <v>-1522240</v>
      </c>
      <c r="P190" s="154"/>
      <c r="Q190" s="113" t="s">
        <v>358</v>
      </c>
      <c r="R190" s="94"/>
      <c r="S190" s="94"/>
      <c r="T190" s="94"/>
    </row>
    <row r="191" spans="1:20" ht="24" customHeight="1">
      <c r="A191" s="16">
        <v>122</v>
      </c>
      <c r="B191" s="110" t="s">
        <v>247</v>
      </c>
      <c r="C191" s="89" t="s">
        <v>223</v>
      </c>
      <c r="D191" s="111">
        <v>1038</v>
      </c>
      <c r="E191" s="36" t="str">
        <f t="shared" si="9"/>
        <v>190-2</v>
      </c>
      <c r="F191" s="18" t="str">
        <f t="shared" si="10"/>
        <v>전</v>
      </c>
      <c r="G191" s="111">
        <v>948.8</v>
      </c>
      <c r="H191" s="112"/>
      <c r="I191" s="22">
        <v>8490</v>
      </c>
      <c r="J191" s="23"/>
      <c r="K191" s="24"/>
      <c r="L191" s="25">
        <f t="shared" si="12"/>
        <v>-89.200000000000045</v>
      </c>
      <c r="M191" s="157">
        <f>ROUNDDOWN((-757308),-1)</f>
        <v>-757300</v>
      </c>
      <c r="N191" s="180"/>
      <c r="O191" s="182">
        <f>M191</f>
        <v>-757300</v>
      </c>
      <c r="P191" s="154"/>
      <c r="Q191" s="113" t="s">
        <v>359</v>
      </c>
      <c r="R191" s="94"/>
      <c r="S191" s="94"/>
      <c r="T191" s="94"/>
    </row>
    <row r="192" spans="1:20" ht="24" customHeight="1">
      <c r="A192" s="16">
        <v>123</v>
      </c>
      <c r="B192" s="110">
        <v>236</v>
      </c>
      <c r="C192" s="89" t="s">
        <v>223</v>
      </c>
      <c r="D192" s="111">
        <v>1574</v>
      </c>
      <c r="E192" s="36">
        <f t="shared" si="9"/>
        <v>236</v>
      </c>
      <c r="F192" s="18" t="str">
        <f t="shared" si="10"/>
        <v>전</v>
      </c>
      <c r="G192" s="111">
        <v>1731.5</v>
      </c>
      <c r="H192" s="112"/>
      <c r="I192" s="22">
        <v>7890</v>
      </c>
      <c r="J192" s="23">
        <f>G192-D192</f>
        <v>157.5</v>
      </c>
      <c r="K192" s="24">
        <f t="shared" si="11"/>
        <v>1242670</v>
      </c>
      <c r="L192" s="25" t="str">
        <f t="shared" si="12"/>
        <v/>
      </c>
      <c r="M192" s="157" t="s">
        <v>273</v>
      </c>
      <c r="N192" s="180"/>
      <c r="O192" s="182">
        <f>K192</f>
        <v>1242670</v>
      </c>
      <c r="P192" s="154"/>
      <c r="Q192" s="113" t="s">
        <v>360</v>
      </c>
      <c r="R192" s="94"/>
      <c r="S192" s="94"/>
      <c r="T192" s="94"/>
    </row>
    <row r="193" spans="1:21" ht="24" customHeight="1">
      <c r="A193" s="16">
        <v>124</v>
      </c>
      <c r="B193" s="110" t="s">
        <v>248</v>
      </c>
      <c r="C193" s="89" t="s">
        <v>213</v>
      </c>
      <c r="D193" s="111">
        <v>1051</v>
      </c>
      <c r="E193" s="36" t="str">
        <f t="shared" si="9"/>
        <v>247-3</v>
      </c>
      <c r="F193" s="18" t="str">
        <f t="shared" si="10"/>
        <v>답</v>
      </c>
      <c r="G193" s="111">
        <v>1133.9000000000001</v>
      </c>
      <c r="H193" s="112"/>
      <c r="I193" s="22">
        <v>7890</v>
      </c>
      <c r="J193" s="23">
        <f>G193-D193</f>
        <v>82.900000000000091</v>
      </c>
      <c r="K193" s="24">
        <f t="shared" si="11"/>
        <v>654080</v>
      </c>
      <c r="L193" s="25" t="str">
        <f t="shared" si="12"/>
        <v/>
      </c>
      <c r="M193" s="157" t="s">
        <v>273</v>
      </c>
      <c r="N193" s="180"/>
      <c r="O193" s="182">
        <f>K193</f>
        <v>654080</v>
      </c>
      <c r="P193" s="154"/>
      <c r="Q193" s="113" t="s">
        <v>361</v>
      </c>
      <c r="R193" s="94"/>
      <c r="S193" s="94"/>
      <c r="T193" s="94"/>
    </row>
    <row r="194" spans="1:21" ht="24" customHeight="1">
      <c r="A194" s="16">
        <v>125</v>
      </c>
      <c r="B194" s="110" t="s">
        <v>249</v>
      </c>
      <c r="C194" s="89" t="s">
        <v>213</v>
      </c>
      <c r="D194" s="111">
        <v>674</v>
      </c>
      <c r="E194" s="36" t="str">
        <f t="shared" si="9"/>
        <v>724-5</v>
      </c>
      <c r="F194" s="18" t="str">
        <f t="shared" si="10"/>
        <v>답</v>
      </c>
      <c r="G194" s="111">
        <v>984.7</v>
      </c>
      <c r="H194" s="112"/>
      <c r="I194" s="22">
        <v>7890</v>
      </c>
      <c r="J194" s="23">
        <f>G194-D194</f>
        <v>310.70000000000005</v>
      </c>
      <c r="K194" s="24">
        <f t="shared" si="11"/>
        <v>2451420</v>
      </c>
      <c r="L194" s="25" t="str">
        <f t="shared" si="12"/>
        <v/>
      </c>
      <c r="M194" s="157" t="s">
        <v>273</v>
      </c>
      <c r="N194" s="180"/>
      <c r="O194" s="182">
        <f>K194</f>
        <v>2451420</v>
      </c>
      <c r="P194" s="154"/>
      <c r="Q194" s="113" t="s">
        <v>309</v>
      </c>
      <c r="R194" s="94"/>
      <c r="S194" s="94"/>
      <c r="T194" s="94"/>
    </row>
    <row r="195" spans="1:21" ht="24" customHeight="1">
      <c r="A195" s="16">
        <v>126</v>
      </c>
      <c r="B195" s="110">
        <v>91</v>
      </c>
      <c r="C195" s="89" t="s">
        <v>223</v>
      </c>
      <c r="D195" s="111">
        <v>1762</v>
      </c>
      <c r="E195" s="36">
        <f t="shared" si="9"/>
        <v>91</v>
      </c>
      <c r="F195" s="18" t="str">
        <f t="shared" si="10"/>
        <v>전</v>
      </c>
      <c r="G195" s="111">
        <v>1820.7</v>
      </c>
      <c r="H195" s="112"/>
      <c r="I195" s="22">
        <v>5890</v>
      </c>
      <c r="J195" s="23">
        <f>G195-D195</f>
        <v>58.700000000000045</v>
      </c>
      <c r="K195" s="24">
        <f t="shared" si="11"/>
        <v>345740</v>
      </c>
      <c r="L195" s="25" t="str">
        <f t="shared" si="12"/>
        <v/>
      </c>
      <c r="M195" s="157" t="s">
        <v>273</v>
      </c>
      <c r="N195" s="180"/>
      <c r="O195" s="182">
        <f>K195</f>
        <v>345740</v>
      </c>
      <c r="P195" s="154"/>
      <c r="Q195" s="113" t="s">
        <v>362</v>
      </c>
      <c r="R195" s="94"/>
      <c r="S195" s="94"/>
      <c r="T195" s="94"/>
    </row>
    <row r="196" spans="1:21" ht="24" customHeight="1">
      <c r="A196" s="16">
        <v>127</v>
      </c>
      <c r="B196" s="110">
        <v>127</v>
      </c>
      <c r="C196" s="89" t="s">
        <v>250</v>
      </c>
      <c r="D196" s="111">
        <v>526</v>
      </c>
      <c r="E196" s="36">
        <f t="shared" si="9"/>
        <v>127</v>
      </c>
      <c r="F196" s="18" t="str">
        <f t="shared" si="10"/>
        <v>대</v>
      </c>
      <c r="G196" s="111">
        <v>472.7</v>
      </c>
      <c r="H196" s="112"/>
      <c r="I196" s="22">
        <v>12700</v>
      </c>
      <c r="J196" s="23"/>
      <c r="K196" s="24"/>
      <c r="L196" s="25">
        <f t="shared" si="12"/>
        <v>-53.300000000000011</v>
      </c>
      <c r="M196" s="157">
        <v>-676910</v>
      </c>
      <c r="N196" s="180"/>
      <c r="O196" s="182">
        <f>M196</f>
        <v>-676910</v>
      </c>
      <c r="P196" s="154"/>
      <c r="Q196" s="113" t="s">
        <v>363</v>
      </c>
      <c r="R196" s="94"/>
      <c r="S196" s="94"/>
      <c r="T196" s="94"/>
    </row>
    <row r="197" spans="1:21" ht="24" customHeight="1">
      <c r="A197" s="16"/>
      <c r="B197" s="110"/>
      <c r="C197" s="89"/>
      <c r="D197" s="111"/>
      <c r="E197" s="36"/>
      <c r="F197" s="18"/>
      <c r="G197" s="111"/>
      <c r="H197" s="112"/>
      <c r="I197" s="22"/>
      <c r="J197" s="23"/>
      <c r="K197" s="24"/>
      <c r="L197" s="25"/>
      <c r="M197" s="157"/>
      <c r="N197" s="180"/>
      <c r="O197" s="182"/>
      <c r="P197" s="154"/>
      <c r="Q197" s="113" t="s">
        <v>364</v>
      </c>
      <c r="R197" s="94"/>
      <c r="S197" s="94"/>
      <c r="T197" s="94"/>
    </row>
    <row r="198" spans="1:21" ht="24" customHeight="1">
      <c r="A198" s="16">
        <v>128</v>
      </c>
      <c r="B198" s="110">
        <v>390</v>
      </c>
      <c r="C198" s="89" t="s">
        <v>213</v>
      </c>
      <c r="D198" s="111">
        <v>2537</v>
      </c>
      <c r="E198" s="36">
        <f t="shared" si="9"/>
        <v>390</v>
      </c>
      <c r="F198" s="18" t="str">
        <f t="shared" si="10"/>
        <v>답</v>
      </c>
      <c r="G198" s="111">
        <v>2625</v>
      </c>
      <c r="H198" s="112"/>
      <c r="I198" s="22">
        <v>9120</v>
      </c>
      <c r="J198" s="23">
        <f>G198-D198</f>
        <v>88</v>
      </c>
      <c r="K198" s="24">
        <f t="shared" si="11"/>
        <v>802560</v>
      </c>
      <c r="L198" s="25" t="str">
        <f t="shared" si="12"/>
        <v/>
      </c>
      <c r="M198" s="157" t="s">
        <v>273</v>
      </c>
      <c r="N198" s="180"/>
      <c r="O198" s="182">
        <f>K198</f>
        <v>802560</v>
      </c>
      <c r="P198" s="154"/>
      <c r="Q198" s="113" t="s">
        <v>365</v>
      </c>
      <c r="R198" s="94"/>
      <c r="S198" s="94"/>
      <c r="T198" s="94"/>
    </row>
    <row r="199" spans="1:21" ht="24" customHeight="1">
      <c r="A199" s="16">
        <v>129</v>
      </c>
      <c r="B199" s="110" t="s">
        <v>251</v>
      </c>
      <c r="C199" s="89" t="s">
        <v>223</v>
      </c>
      <c r="D199" s="111">
        <v>523</v>
      </c>
      <c r="E199" s="36" t="str">
        <f t="shared" si="9"/>
        <v>380-1</v>
      </c>
      <c r="F199" s="18" t="str">
        <f t="shared" si="10"/>
        <v>전</v>
      </c>
      <c r="G199" s="111">
        <v>552.70000000000005</v>
      </c>
      <c r="H199" s="112"/>
      <c r="I199" s="22">
        <v>9720</v>
      </c>
      <c r="J199" s="23">
        <f>G199-D199</f>
        <v>29.700000000000045</v>
      </c>
      <c r="K199" s="24">
        <f t="shared" si="11"/>
        <v>288680</v>
      </c>
      <c r="L199" s="25" t="str">
        <f t="shared" si="12"/>
        <v/>
      </c>
      <c r="M199" s="157" t="s">
        <v>273</v>
      </c>
      <c r="N199" s="180"/>
      <c r="O199" s="182">
        <f>K199</f>
        <v>288680</v>
      </c>
      <c r="P199" s="154"/>
      <c r="Q199" s="113" t="s">
        <v>366</v>
      </c>
      <c r="R199" s="94"/>
      <c r="S199" s="94"/>
      <c r="T199" s="94"/>
    </row>
    <row r="200" spans="1:21" ht="24" customHeight="1">
      <c r="A200" s="16">
        <v>130</v>
      </c>
      <c r="B200" s="110" t="s">
        <v>252</v>
      </c>
      <c r="C200" s="89" t="s">
        <v>223</v>
      </c>
      <c r="D200" s="111">
        <v>1146</v>
      </c>
      <c r="E200" s="36" t="str">
        <f t="shared" si="9"/>
        <v>384-4</v>
      </c>
      <c r="F200" s="18" t="str">
        <f t="shared" si="10"/>
        <v>전</v>
      </c>
      <c r="G200" s="111">
        <v>1216.9000000000001</v>
      </c>
      <c r="H200" s="112"/>
      <c r="I200" s="22">
        <v>9120</v>
      </c>
      <c r="J200" s="23">
        <f>G200-D200</f>
        <v>70.900000000000091</v>
      </c>
      <c r="K200" s="24">
        <f t="shared" si="11"/>
        <v>646600</v>
      </c>
      <c r="L200" s="25" t="str">
        <f t="shared" si="12"/>
        <v/>
      </c>
      <c r="M200" s="157" t="s">
        <v>273</v>
      </c>
      <c r="N200" s="180"/>
      <c r="O200" s="182">
        <f>K200</f>
        <v>646600</v>
      </c>
      <c r="P200" s="154"/>
      <c r="Q200" s="113" t="s">
        <v>367</v>
      </c>
      <c r="R200" s="94"/>
      <c r="S200" s="94"/>
      <c r="T200" s="94"/>
    </row>
    <row r="201" spans="1:21" ht="24" customHeight="1">
      <c r="A201" s="16">
        <v>131</v>
      </c>
      <c r="B201" s="110">
        <v>326</v>
      </c>
      <c r="C201" s="89" t="s">
        <v>213</v>
      </c>
      <c r="D201" s="111">
        <v>1802</v>
      </c>
      <c r="E201" s="36">
        <f t="shared" si="9"/>
        <v>326</v>
      </c>
      <c r="F201" s="18" t="str">
        <f t="shared" si="10"/>
        <v>답</v>
      </c>
      <c r="G201" s="111">
        <v>1772.9</v>
      </c>
      <c r="H201" s="112"/>
      <c r="I201" s="22">
        <v>6880</v>
      </c>
      <c r="J201" s="23"/>
      <c r="K201" s="24"/>
      <c r="L201" s="25">
        <f t="shared" si="12"/>
        <v>-29.099999999999909</v>
      </c>
      <c r="M201" s="157">
        <f>ROUNDDOWN((-200207.999999999),-1)</f>
        <v>-200200</v>
      </c>
      <c r="N201" s="180"/>
      <c r="O201" s="182">
        <f>M201</f>
        <v>-200200</v>
      </c>
      <c r="P201" s="154"/>
      <c r="Q201" s="113" t="s">
        <v>368</v>
      </c>
      <c r="R201" s="94"/>
      <c r="S201" s="94"/>
      <c r="T201" s="94"/>
    </row>
    <row r="202" spans="1:21" ht="24" customHeight="1">
      <c r="A202" s="16">
        <v>132</v>
      </c>
      <c r="B202" s="110">
        <v>134</v>
      </c>
      <c r="C202" s="89" t="s">
        <v>223</v>
      </c>
      <c r="D202" s="111">
        <v>212</v>
      </c>
      <c r="E202" s="36">
        <f t="shared" si="9"/>
        <v>134</v>
      </c>
      <c r="F202" s="18" t="str">
        <f t="shared" si="10"/>
        <v>전</v>
      </c>
      <c r="G202" s="111">
        <v>257.7</v>
      </c>
      <c r="H202" s="112"/>
      <c r="I202" s="22">
        <v>6410</v>
      </c>
      <c r="J202" s="23">
        <f>G202-D202</f>
        <v>45.699999999999989</v>
      </c>
      <c r="K202" s="24">
        <f t="shared" si="11"/>
        <v>292930</v>
      </c>
      <c r="L202" s="25" t="str">
        <f t="shared" si="12"/>
        <v/>
      </c>
      <c r="M202" s="157" t="s">
        <v>273</v>
      </c>
      <c r="N202" s="180"/>
      <c r="O202" s="182">
        <f>K202</f>
        <v>292930</v>
      </c>
      <c r="P202" s="154"/>
      <c r="Q202" s="113" t="s">
        <v>369</v>
      </c>
      <c r="R202" s="94"/>
      <c r="S202" s="94"/>
      <c r="T202" s="94"/>
    </row>
    <row r="203" spans="1:21" ht="24" customHeight="1">
      <c r="A203" s="16">
        <v>133</v>
      </c>
      <c r="B203" s="110">
        <v>308</v>
      </c>
      <c r="C203" s="89" t="s">
        <v>213</v>
      </c>
      <c r="D203" s="111">
        <v>2899</v>
      </c>
      <c r="E203" s="36">
        <f t="shared" si="9"/>
        <v>308</v>
      </c>
      <c r="F203" s="18" t="str">
        <f t="shared" si="10"/>
        <v>답</v>
      </c>
      <c r="G203" s="111">
        <v>3009</v>
      </c>
      <c r="H203" s="112"/>
      <c r="I203" s="22">
        <v>7890</v>
      </c>
      <c r="J203" s="23">
        <f>G203-D203</f>
        <v>110</v>
      </c>
      <c r="K203" s="24">
        <f t="shared" si="11"/>
        <v>867900</v>
      </c>
      <c r="L203" s="25" t="str">
        <f t="shared" si="12"/>
        <v/>
      </c>
      <c r="M203" s="157" t="s">
        <v>273</v>
      </c>
      <c r="N203" s="180"/>
      <c r="O203" s="182">
        <f>K203</f>
        <v>867900</v>
      </c>
      <c r="P203" s="154"/>
      <c r="Q203" s="113" t="s">
        <v>370</v>
      </c>
      <c r="R203" s="94"/>
      <c r="S203" s="94"/>
      <c r="T203" s="94"/>
    </row>
    <row r="204" spans="1:21" ht="24" customHeight="1">
      <c r="A204" s="16">
        <v>134</v>
      </c>
      <c r="B204" s="110">
        <v>223</v>
      </c>
      <c r="C204" s="89" t="s">
        <v>213</v>
      </c>
      <c r="D204" s="111">
        <v>1660</v>
      </c>
      <c r="E204" s="36">
        <f t="shared" si="9"/>
        <v>223</v>
      </c>
      <c r="F204" s="18" t="str">
        <f t="shared" si="10"/>
        <v>답</v>
      </c>
      <c r="G204" s="111">
        <v>1717.8</v>
      </c>
      <c r="H204" s="112"/>
      <c r="I204" s="22">
        <v>8490</v>
      </c>
      <c r="J204" s="23">
        <f>G204-D204</f>
        <v>57.799999999999955</v>
      </c>
      <c r="K204" s="24">
        <f t="shared" si="11"/>
        <v>490720</v>
      </c>
      <c r="L204" s="25" t="str">
        <f t="shared" si="12"/>
        <v/>
      </c>
      <c r="M204" s="157" t="s">
        <v>273</v>
      </c>
      <c r="N204" s="180"/>
      <c r="O204" s="182">
        <f>K204</f>
        <v>490720</v>
      </c>
      <c r="P204" s="154"/>
      <c r="Q204" s="113" t="s">
        <v>371</v>
      </c>
      <c r="R204" s="94"/>
      <c r="S204" s="94"/>
      <c r="T204" s="94"/>
    </row>
    <row r="205" spans="1:21" ht="24" customHeight="1">
      <c r="A205" s="16">
        <v>135</v>
      </c>
      <c r="B205" s="110">
        <v>154</v>
      </c>
      <c r="C205" s="89" t="s">
        <v>250</v>
      </c>
      <c r="D205" s="111">
        <v>456</v>
      </c>
      <c r="E205" s="36">
        <f t="shared" si="9"/>
        <v>154</v>
      </c>
      <c r="F205" s="18" t="str">
        <f t="shared" si="10"/>
        <v>대</v>
      </c>
      <c r="G205" s="111">
        <v>402.3</v>
      </c>
      <c r="H205" s="112"/>
      <c r="I205" s="22">
        <v>12500</v>
      </c>
      <c r="J205" s="23"/>
      <c r="K205" s="115"/>
      <c r="L205" s="25">
        <f t="shared" si="12"/>
        <v>-53.699999999999989</v>
      </c>
      <c r="M205" s="157">
        <v>-671250</v>
      </c>
      <c r="N205" s="180"/>
      <c r="O205" s="182">
        <f>M205</f>
        <v>-671250</v>
      </c>
      <c r="P205" s="154"/>
      <c r="Q205" s="113" t="s">
        <v>372</v>
      </c>
      <c r="R205" s="94"/>
      <c r="S205" s="94"/>
      <c r="T205" s="94"/>
    </row>
    <row r="206" spans="1:21" s="4" customFormat="1" ht="24" customHeight="1" thickBot="1">
      <c r="A206" s="127" t="s">
        <v>271</v>
      </c>
      <c r="B206" s="127"/>
      <c r="C206" s="117"/>
      <c r="D206" s="128">
        <f>SUM(D139:D205)</f>
        <v>77312</v>
      </c>
      <c r="E206" s="127"/>
      <c r="F206" s="117"/>
      <c r="G206" s="124">
        <f>SUM(G139:G205)</f>
        <v>77930.199999999983</v>
      </c>
      <c r="H206" s="134"/>
      <c r="I206" s="135"/>
      <c r="J206" s="185">
        <f>SUM(J139:J205)</f>
        <v>2292.3000000000011</v>
      </c>
      <c r="K206" s="194">
        <f>SUM(K139:K205)</f>
        <v>18246250</v>
      </c>
      <c r="L206" s="186">
        <f>SUM(L139:L205)</f>
        <v>-1674.1000000000001</v>
      </c>
      <c r="M206" s="193">
        <f>SUM(M139:M205)</f>
        <v>-14003550</v>
      </c>
      <c r="N206" s="187"/>
      <c r="O206" s="188">
        <f>SUM(O139:O205)</f>
        <v>4242700</v>
      </c>
      <c r="P206" s="155" t="s">
        <v>6</v>
      </c>
      <c r="Q206" s="141"/>
      <c r="R206" s="138"/>
      <c r="S206" s="138"/>
      <c r="T206" s="143"/>
      <c r="U206"/>
    </row>
    <row r="207" spans="1:21" ht="17.25" thickTop="1"/>
    <row r="210" hidden="1"/>
  </sheetData>
  <mergeCells count="31">
    <mergeCell ref="N8:N9"/>
    <mergeCell ref="M8:M9"/>
    <mergeCell ref="J6:O6"/>
    <mergeCell ref="D7:D9"/>
    <mergeCell ref="K8:K9"/>
    <mergeCell ref="E7:E9"/>
    <mergeCell ref="N7:O7"/>
    <mergeCell ref="I6:I9"/>
    <mergeCell ref="G7:G9"/>
    <mergeCell ref="J7:K7"/>
    <mergeCell ref="H6:H9"/>
    <mergeCell ref="F7:F9"/>
    <mergeCell ref="L8:L9"/>
    <mergeCell ref="L7:M7"/>
    <mergeCell ref="O8:O9"/>
    <mergeCell ref="Q7:Q9"/>
    <mergeCell ref="A2:T2"/>
    <mergeCell ref="A5:T5"/>
    <mergeCell ref="A4:Q4"/>
    <mergeCell ref="A6:A9"/>
    <mergeCell ref="B6:D6"/>
    <mergeCell ref="E6:G6"/>
    <mergeCell ref="B7:B9"/>
    <mergeCell ref="C7:C9"/>
    <mergeCell ref="J8:J9"/>
    <mergeCell ref="T6:T9"/>
    <mergeCell ref="P7:P9"/>
    <mergeCell ref="S7:S9"/>
    <mergeCell ref="P6:Q6"/>
    <mergeCell ref="R6:S6"/>
    <mergeCell ref="R7:R9"/>
  </mergeCells>
  <phoneticPr fontId="2" type="noConversion"/>
  <pageMargins left="0.23622047244094491" right="0.23622047244094491" top="0.74803149606299213" bottom="0.48" header="0.31496062992125984" footer="0.31496062992125984"/>
  <pageSetup paperSize="9" scale="85" orientation="landscape" r:id="rId1"/>
  <ignoredErrors>
    <ignoredError sqref="L33 O20 O27 O36 O41 O44 J20:K20 L41 O126 L44 L47 L50 L54 L59 L67 L71 J74:L74 O135 L86 J83:K83 L96 J89:K89 J92:K92 L101 L104 L107 L120 L123 L135 L138 O104 O123 O50 O52 O67 O71 O74 O83 O59 O89 O92 O96 O120 O107 O98 O101 O201 O196 O182 O179 O162 O148 O140" formula="1"/>
    <ignoredError sqref="B188 B121:B122 B139 B65:B66 B90" twoDigitTextYear="1"/>
  </ignoredErrors>
</worksheet>
</file>

<file path=xl/worksheets/sheet3.xml><?xml version="1.0" encoding="utf-8"?>
<worksheet xmlns="http://schemas.openxmlformats.org/spreadsheetml/2006/main" xmlns:r="http://schemas.openxmlformats.org/officeDocument/2006/relationships">
  <dimension ref="A1:R25"/>
  <sheetViews>
    <sheetView tabSelected="1" zoomScale="25" zoomScaleNormal="25" zoomScaleSheetLayoutView="25" workbookViewId="0">
      <selection activeCell="Z8" sqref="Z8"/>
    </sheetView>
  </sheetViews>
  <sheetFormatPr defaultRowHeight="54"/>
  <cols>
    <col min="1" max="1" width="14.75" customWidth="1"/>
    <col min="2" max="2" width="20.625" customWidth="1"/>
    <col min="3" max="3" width="10.625" customWidth="1"/>
    <col min="4" max="4" width="30.625" style="1" customWidth="1"/>
    <col min="5" max="5" width="20.625" customWidth="1"/>
    <col min="6" max="6" width="10.625" customWidth="1"/>
    <col min="7" max="7" width="30.625" style="2" customWidth="1"/>
    <col min="8" max="8" width="13" bestFit="1" customWidth="1"/>
    <col min="9" max="9" width="18.25" style="3" bestFit="1" customWidth="1"/>
    <col min="10" max="10" width="27.625" bestFit="1" customWidth="1"/>
    <col min="11" max="11" width="32.625" style="1" bestFit="1" customWidth="1"/>
    <col min="12" max="12" width="38.625" bestFit="1" customWidth="1"/>
    <col min="13" max="13" width="34.125" bestFit="1" customWidth="1"/>
    <col min="14" max="14" width="34.125" style="284" bestFit="1" customWidth="1"/>
    <col min="15" max="15" width="100.625" customWidth="1"/>
    <col min="16" max="17" width="20.625" customWidth="1"/>
    <col min="18" max="18" width="14.375" bestFit="1" customWidth="1"/>
  </cols>
  <sheetData>
    <row r="1" spans="1:18" s="279" customFormat="1" ht="99.95" customHeight="1">
      <c r="A1" s="417" t="s">
        <v>503</v>
      </c>
      <c r="B1" s="417"/>
      <c r="C1" s="417"/>
      <c r="D1" s="417"/>
      <c r="E1" s="417"/>
      <c r="F1" s="417"/>
      <c r="G1" s="417"/>
      <c r="H1" s="417"/>
      <c r="I1" s="417"/>
      <c r="J1" s="417"/>
      <c r="K1" s="417"/>
      <c r="L1" s="417"/>
      <c r="M1" s="417"/>
      <c r="N1" s="417"/>
      <c r="O1" s="417"/>
      <c r="P1" s="417"/>
      <c r="Q1" s="417"/>
    </row>
    <row r="2" spans="1:18" ht="17.25" customHeight="1">
      <c r="A2" s="259"/>
      <c r="B2" s="259"/>
      <c r="C2" s="259"/>
      <c r="D2" s="259"/>
      <c r="E2" s="259"/>
      <c r="F2" s="259"/>
      <c r="G2" s="259"/>
      <c r="H2" s="259"/>
      <c r="I2" s="259"/>
      <c r="J2" s="259"/>
      <c r="K2" s="259"/>
      <c r="L2" s="259"/>
      <c r="M2" s="259"/>
      <c r="N2" s="282"/>
      <c r="O2" s="259"/>
      <c r="P2" s="259"/>
      <c r="Q2" s="259"/>
    </row>
    <row r="3" spans="1:18" ht="60" customHeight="1">
      <c r="A3" s="418" t="s">
        <v>492</v>
      </c>
      <c r="B3" s="418"/>
      <c r="C3" s="418"/>
      <c r="D3" s="418"/>
      <c r="E3" s="418"/>
      <c r="F3" s="418"/>
      <c r="G3" s="418"/>
      <c r="H3" s="418"/>
      <c r="I3" s="418"/>
      <c r="J3" s="418"/>
      <c r="K3" s="418"/>
      <c r="L3" s="418"/>
      <c r="M3" s="418"/>
      <c r="N3" s="418"/>
      <c r="O3" s="418"/>
      <c r="P3" s="418"/>
      <c r="Q3" s="281"/>
    </row>
    <row r="4" spans="1:18" ht="60" customHeight="1" thickBot="1">
      <c r="A4" s="419" t="s">
        <v>491</v>
      </c>
      <c r="B4" s="419"/>
      <c r="C4" s="419"/>
      <c r="D4" s="419"/>
      <c r="E4" s="419"/>
      <c r="F4" s="419"/>
      <c r="G4" s="419"/>
      <c r="H4" s="419"/>
      <c r="I4" s="419"/>
      <c r="J4" s="419"/>
      <c r="K4" s="419"/>
      <c r="L4" s="419"/>
      <c r="M4" s="419"/>
      <c r="N4" s="419"/>
      <c r="O4" s="419"/>
      <c r="P4" s="419"/>
      <c r="Q4" s="419"/>
    </row>
    <row r="5" spans="1:18" s="278" customFormat="1" ht="69.95" customHeight="1">
      <c r="A5" s="420" t="s">
        <v>505</v>
      </c>
      <c r="B5" s="293" t="s">
        <v>157</v>
      </c>
      <c r="C5" s="293"/>
      <c r="D5" s="293"/>
      <c r="E5" s="293" t="s">
        <v>158</v>
      </c>
      <c r="F5" s="293"/>
      <c r="G5" s="293"/>
      <c r="H5" s="413" t="s">
        <v>494</v>
      </c>
      <c r="I5" s="413" t="s">
        <v>495</v>
      </c>
      <c r="J5" s="293" t="s">
        <v>268</v>
      </c>
      <c r="K5" s="293"/>
      <c r="L5" s="293"/>
      <c r="M5" s="293"/>
      <c r="N5" s="293"/>
      <c r="O5" s="293" t="s">
        <v>261</v>
      </c>
      <c r="P5" s="293"/>
      <c r="Q5" s="413" t="s">
        <v>502</v>
      </c>
      <c r="R5" s="411" t="s">
        <v>496</v>
      </c>
    </row>
    <row r="6" spans="1:18" s="278" customFormat="1" ht="69.95" customHeight="1">
      <c r="A6" s="421"/>
      <c r="B6" s="414" t="s">
        <v>497</v>
      </c>
      <c r="C6" s="414" t="s">
        <v>498</v>
      </c>
      <c r="D6" s="422" t="s">
        <v>257</v>
      </c>
      <c r="E6" s="414" t="s">
        <v>497</v>
      </c>
      <c r="F6" s="414" t="s">
        <v>498</v>
      </c>
      <c r="G6" s="422" t="s">
        <v>493</v>
      </c>
      <c r="H6" s="414"/>
      <c r="I6" s="414"/>
      <c r="J6" s="414" t="s">
        <v>499</v>
      </c>
      <c r="K6" s="414"/>
      <c r="L6" s="414" t="s">
        <v>500</v>
      </c>
      <c r="M6" s="414"/>
      <c r="N6" s="294" t="s">
        <v>501</v>
      </c>
      <c r="O6" s="414" t="s">
        <v>267</v>
      </c>
      <c r="P6" s="414" t="s">
        <v>266</v>
      </c>
      <c r="Q6" s="414"/>
      <c r="R6" s="412"/>
    </row>
    <row r="7" spans="1:18" s="278" customFormat="1" ht="69.95" customHeight="1">
      <c r="A7" s="421"/>
      <c r="B7" s="414"/>
      <c r="C7" s="414"/>
      <c r="D7" s="414"/>
      <c r="E7" s="414"/>
      <c r="F7" s="414"/>
      <c r="G7" s="414"/>
      <c r="H7" s="414"/>
      <c r="I7" s="414"/>
      <c r="J7" s="294" t="s">
        <v>260</v>
      </c>
      <c r="K7" s="295" t="s">
        <v>272</v>
      </c>
      <c r="L7" s="294" t="s">
        <v>260</v>
      </c>
      <c r="M7" s="294" t="s">
        <v>272</v>
      </c>
      <c r="N7" s="294" t="s">
        <v>272</v>
      </c>
      <c r="O7" s="414"/>
      <c r="P7" s="414"/>
      <c r="Q7" s="414"/>
      <c r="R7" s="412"/>
    </row>
    <row r="8" spans="1:18" ht="120" customHeight="1" thickBot="1">
      <c r="A8" s="296">
        <v>1</v>
      </c>
      <c r="B8" s="342" t="s">
        <v>517</v>
      </c>
      <c r="C8" s="297" t="s">
        <v>3</v>
      </c>
      <c r="D8" s="298">
        <v>1319</v>
      </c>
      <c r="E8" s="348" t="str">
        <f t="shared" ref="E8:F10" si="0">B8</f>
        <v>478-2</v>
      </c>
      <c r="F8" s="297" t="str">
        <f t="shared" si="0"/>
        <v>전</v>
      </c>
      <c r="G8" s="299">
        <v>1385.8</v>
      </c>
      <c r="H8" s="300"/>
      <c r="I8" s="424">
        <v>9120</v>
      </c>
      <c r="J8" s="432">
        <v>66.799999999999955</v>
      </c>
      <c r="K8" s="433">
        <v>609210</v>
      </c>
      <c r="L8" s="434" t="s">
        <v>273</v>
      </c>
      <c r="M8" s="435" t="s">
        <v>273</v>
      </c>
      <c r="N8" s="436">
        <v>609210</v>
      </c>
      <c r="O8" s="301" t="s">
        <v>376</v>
      </c>
      <c r="P8" s="302" t="s">
        <v>508</v>
      </c>
      <c r="Q8" s="303" t="s">
        <v>504</v>
      </c>
      <c r="R8" s="286"/>
    </row>
    <row r="9" spans="1:18" ht="120" customHeight="1" thickBot="1">
      <c r="A9" s="304">
        <v>2</v>
      </c>
      <c r="B9" s="361">
        <v>88</v>
      </c>
      <c r="C9" s="362" t="s">
        <v>3</v>
      </c>
      <c r="D9" s="363">
        <v>2188</v>
      </c>
      <c r="E9" s="364">
        <f t="shared" si="0"/>
        <v>88</v>
      </c>
      <c r="F9" s="362" t="str">
        <f t="shared" si="0"/>
        <v>전</v>
      </c>
      <c r="G9" s="365">
        <v>2287</v>
      </c>
      <c r="H9" s="306"/>
      <c r="I9" s="425">
        <v>5890</v>
      </c>
      <c r="J9" s="437">
        <v>99</v>
      </c>
      <c r="K9" s="438">
        <v>583110</v>
      </c>
      <c r="L9" s="439" t="s">
        <v>273</v>
      </c>
      <c r="M9" s="440" t="s">
        <v>273</v>
      </c>
      <c r="N9" s="441">
        <v>583110</v>
      </c>
      <c r="O9" s="307" t="s">
        <v>520</v>
      </c>
      <c r="P9" s="308" t="s">
        <v>509</v>
      </c>
      <c r="Q9" s="309" t="s">
        <v>506</v>
      </c>
      <c r="R9" s="288"/>
    </row>
    <row r="10" spans="1:18" ht="120" customHeight="1" thickBot="1">
      <c r="A10" s="310">
        <v>3</v>
      </c>
      <c r="B10" s="366" t="s">
        <v>108</v>
      </c>
      <c r="C10" s="367" t="s">
        <v>3</v>
      </c>
      <c r="D10" s="368">
        <v>631</v>
      </c>
      <c r="E10" s="369" t="str">
        <f t="shared" si="0"/>
        <v>215-1</v>
      </c>
      <c r="F10" s="367" t="str">
        <f t="shared" si="0"/>
        <v>전</v>
      </c>
      <c r="G10" s="370">
        <v>696.6</v>
      </c>
      <c r="H10" s="312"/>
      <c r="I10" s="423">
        <v>4480</v>
      </c>
      <c r="J10" s="442">
        <v>65.600000000000023</v>
      </c>
      <c r="K10" s="443">
        <v>293880</v>
      </c>
      <c r="L10" s="444" t="s">
        <v>273</v>
      </c>
      <c r="M10" s="445" t="s">
        <v>273</v>
      </c>
      <c r="N10" s="446">
        <v>293880</v>
      </c>
      <c r="O10" s="313" t="s">
        <v>377</v>
      </c>
      <c r="P10" s="320" t="s">
        <v>510</v>
      </c>
      <c r="Q10" s="315" t="s">
        <v>506</v>
      </c>
      <c r="R10" s="289"/>
    </row>
    <row r="11" spans="1:18" ht="120" customHeight="1">
      <c r="A11" s="415">
        <v>4</v>
      </c>
      <c r="B11" s="359" t="s">
        <v>18</v>
      </c>
      <c r="C11" s="371" t="s">
        <v>21</v>
      </c>
      <c r="D11" s="372">
        <v>959</v>
      </c>
      <c r="E11" s="373" t="str">
        <f>B11</f>
        <v>296-2</v>
      </c>
      <c r="F11" s="371" t="str">
        <f>C11</f>
        <v>제방</v>
      </c>
      <c r="G11" s="374">
        <v>930.6</v>
      </c>
      <c r="H11" s="354"/>
      <c r="I11" s="474">
        <v>2640</v>
      </c>
      <c r="J11" s="447"/>
      <c r="K11" s="448"/>
      <c r="L11" s="449">
        <v>-28.399999999999977</v>
      </c>
      <c r="M11" s="450">
        <v>-74970</v>
      </c>
      <c r="N11" s="451">
        <v>-74970</v>
      </c>
      <c r="O11" s="355"/>
      <c r="P11" s="340" t="s">
        <v>22</v>
      </c>
      <c r="Q11" s="321" t="s">
        <v>522</v>
      </c>
      <c r="R11" s="290"/>
    </row>
    <row r="12" spans="1:18" ht="120" customHeight="1" thickBot="1">
      <c r="A12" s="416"/>
      <c r="B12" s="360" t="s">
        <v>19</v>
      </c>
      <c r="C12" s="375" t="s">
        <v>20</v>
      </c>
      <c r="D12" s="376">
        <v>255</v>
      </c>
      <c r="E12" s="377" t="str">
        <f>B12</f>
        <v>296-3</v>
      </c>
      <c r="F12" s="375" t="str">
        <f>C12</f>
        <v>하천</v>
      </c>
      <c r="G12" s="378">
        <v>196.4</v>
      </c>
      <c r="H12" s="356"/>
      <c r="I12" s="475">
        <v>2640</v>
      </c>
      <c r="J12" s="452"/>
      <c r="K12" s="453"/>
      <c r="L12" s="454">
        <v>-58.599999999999994</v>
      </c>
      <c r="M12" s="455">
        <v>-154700</v>
      </c>
      <c r="N12" s="456">
        <v>-154700</v>
      </c>
      <c r="O12" s="357"/>
      <c r="P12" s="358" t="s">
        <v>22</v>
      </c>
      <c r="Q12" s="326" t="s">
        <v>522</v>
      </c>
      <c r="R12" s="285"/>
    </row>
    <row r="13" spans="1:18" ht="120" customHeight="1">
      <c r="A13" s="415">
        <v>5</v>
      </c>
      <c r="B13" s="379" t="s">
        <v>33</v>
      </c>
      <c r="C13" s="380" t="s">
        <v>3</v>
      </c>
      <c r="D13" s="381">
        <v>1203</v>
      </c>
      <c r="E13" s="382" t="str">
        <f t="shared" ref="E13:E21" si="1">B13</f>
        <v>85-2</v>
      </c>
      <c r="F13" s="380" t="s">
        <v>3</v>
      </c>
      <c r="G13" s="383">
        <v>1183</v>
      </c>
      <c r="H13" s="318"/>
      <c r="I13" s="426">
        <v>7920</v>
      </c>
      <c r="J13" s="457"/>
      <c r="K13" s="458"/>
      <c r="L13" s="459">
        <v>-20</v>
      </c>
      <c r="M13" s="460">
        <v>-158400</v>
      </c>
      <c r="N13" s="461">
        <v>-158400</v>
      </c>
      <c r="O13" s="319" t="s">
        <v>374</v>
      </c>
      <c r="P13" s="320" t="s">
        <v>511</v>
      </c>
      <c r="Q13" s="321" t="s">
        <v>507</v>
      </c>
      <c r="R13" s="290"/>
    </row>
    <row r="14" spans="1:18" s="4" customFormat="1" ht="120" customHeight="1" thickBot="1">
      <c r="A14" s="416"/>
      <c r="B14" s="384" t="s">
        <v>34</v>
      </c>
      <c r="C14" s="385" t="s">
        <v>3</v>
      </c>
      <c r="D14" s="386">
        <v>893</v>
      </c>
      <c r="E14" s="387" t="str">
        <f t="shared" si="1"/>
        <v>85-3</v>
      </c>
      <c r="F14" s="385" t="s">
        <v>3</v>
      </c>
      <c r="G14" s="388">
        <v>824.8</v>
      </c>
      <c r="H14" s="324"/>
      <c r="I14" s="427">
        <v>7920</v>
      </c>
      <c r="J14" s="462"/>
      <c r="K14" s="463"/>
      <c r="L14" s="464">
        <v>-68.200000000000045</v>
      </c>
      <c r="M14" s="465">
        <v>-540140</v>
      </c>
      <c r="N14" s="466">
        <v>-540140</v>
      </c>
      <c r="O14" s="325" t="s">
        <v>374</v>
      </c>
      <c r="P14" s="302" t="s">
        <v>511</v>
      </c>
      <c r="Q14" s="326" t="s">
        <v>507</v>
      </c>
      <c r="R14" s="291"/>
    </row>
    <row r="15" spans="1:18" s="4" customFormat="1" ht="120" customHeight="1" thickBot="1">
      <c r="A15" s="310">
        <v>6</v>
      </c>
      <c r="B15" s="343">
        <v>124</v>
      </c>
      <c r="C15" s="311" t="s">
        <v>3</v>
      </c>
      <c r="D15" s="327">
        <v>512</v>
      </c>
      <c r="E15" s="350">
        <f t="shared" si="1"/>
        <v>124</v>
      </c>
      <c r="F15" s="311" t="str">
        <f t="shared" ref="F15:F21" si="2">C15</f>
        <v>전</v>
      </c>
      <c r="G15" s="328">
        <v>556</v>
      </c>
      <c r="H15" s="312"/>
      <c r="I15" s="423">
        <v>8800</v>
      </c>
      <c r="J15" s="442">
        <v>44</v>
      </c>
      <c r="K15" s="443">
        <v>387200</v>
      </c>
      <c r="L15" s="444" t="s">
        <v>273</v>
      </c>
      <c r="M15" s="445" t="s">
        <v>273</v>
      </c>
      <c r="N15" s="446">
        <v>387200</v>
      </c>
      <c r="O15" s="325" t="s">
        <v>521</v>
      </c>
      <c r="P15" s="308" t="s">
        <v>512</v>
      </c>
      <c r="Q15" s="315" t="s">
        <v>504</v>
      </c>
      <c r="R15" s="292"/>
    </row>
    <row r="16" spans="1:18" ht="120" customHeight="1" thickBot="1">
      <c r="A16" s="304">
        <v>7</v>
      </c>
      <c r="B16" s="344" t="s">
        <v>518</v>
      </c>
      <c r="C16" s="305" t="s">
        <v>3</v>
      </c>
      <c r="D16" s="329">
        <v>69</v>
      </c>
      <c r="E16" s="349" t="str">
        <f t="shared" si="1"/>
        <v>378-2</v>
      </c>
      <c r="F16" s="305" t="str">
        <f t="shared" si="2"/>
        <v>전</v>
      </c>
      <c r="G16" s="330">
        <v>44</v>
      </c>
      <c r="H16" s="306"/>
      <c r="I16" s="425">
        <v>8610</v>
      </c>
      <c r="J16" s="437"/>
      <c r="K16" s="438"/>
      <c r="L16" s="439">
        <v>-25</v>
      </c>
      <c r="M16" s="440">
        <v>-215250</v>
      </c>
      <c r="N16" s="467">
        <v>-215250</v>
      </c>
      <c r="O16" s="307" t="s">
        <v>375</v>
      </c>
      <c r="P16" s="320" t="s">
        <v>513</v>
      </c>
      <c r="Q16" s="309" t="s">
        <v>507</v>
      </c>
      <c r="R16" s="288"/>
    </row>
    <row r="17" spans="1:18" ht="120" customHeight="1" thickBot="1">
      <c r="A17" s="310">
        <v>8</v>
      </c>
      <c r="B17" s="343" t="s">
        <v>519</v>
      </c>
      <c r="C17" s="311" t="s">
        <v>125</v>
      </c>
      <c r="D17" s="327">
        <v>866</v>
      </c>
      <c r="E17" s="350" t="str">
        <f t="shared" si="1"/>
        <v>317-2</v>
      </c>
      <c r="F17" s="311" t="str">
        <f t="shared" si="2"/>
        <v>임야</v>
      </c>
      <c r="G17" s="328">
        <v>810</v>
      </c>
      <c r="H17" s="312"/>
      <c r="I17" s="423">
        <v>726</v>
      </c>
      <c r="J17" s="442"/>
      <c r="K17" s="443"/>
      <c r="L17" s="444">
        <v>-56</v>
      </c>
      <c r="M17" s="445">
        <v>-40650</v>
      </c>
      <c r="N17" s="468">
        <v>-40650</v>
      </c>
      <c r="O17" s="313" t="s">
        <v>373</v>
      </c>
      <c r="P17" s="308" t="s">
        <v>514</v>
      </c>
      <c r="Q17" s="315" t="s">
        <v>504</v>
      </c>
      <c r="R17" s="289"/>
    </row>
    <row r="18" spans="1:18" ht="120" customHeight="1">
      <c r="A18" s="415">
        <v>9</v>
      </c>
      <c r="B18" s="345">
        <v>170</v>
      </c>
      <c r="C18" s="316" t="s">
        <v>3</v>
      </c>
      <c r="D18" s="331">
        <v>1524</v>
      </c>
      <c r="E18" s="351">
        <f t="shared" si="1"/>
        <v>170</v>
      </c>
      <c r="F18" s="316" t="str">
        <f t="shared" si="2"/>
        <v>전</v>
      </c>
      <c r="G18" s="317">
        <v>1461</v>
      </c>
      <c r="H18" s="332">
        <v>0.16666666666666666</v>
      </c>
      <c r="I18" s="428">
        <v>7080</v>
      </c>
      <c r="J18" s="457"/>
      <c r="K18" s="458"/>
      <c r="L18" s="459">
        <v>-10.5</v>
      </c>
      <c r="M18" s="460">
        <v>-74340</v>
      </c>
      <c r="N18" s="461">
        <v>-74340</v>
      </c>
      <c r="O18" s="319" t="s">
        <v>378</v>
      </c>
      <c r="P18" s="320" t="s">
        <v>515</v>
      </c>
      <c r="Q18" s="321" t="s">
        <v>506</v>
      </c>
      <c r="R18" s="290"/>
    </row>
    <row r="19" spans="1:18" ht="120" customHeight="1" thickBot="1">
      <c r="A19" s="416"/>
      <c r="B19" s="346">
        <v>324</v>
      </c>
      <c r="C19" s="322" t="s">
        <v>3</v>
      </c>
      <c r="D19" s="333">
        <v>922</v>
      </c>
      <c r="E19" s="352">
        <f t="shared" si="1"/>
        <v>324</v>
      </c>
      <c r="F19" s="322" t="str">
        <f t="shared" si="2"/>
        <v>전</v>
      </c>
      <c r="G19" s="323">
        <v>914.7</v>
      </c>
      <c r="H19" s="334">
        <v>0.16666666666666666</v>
      </c>
      <c r="I19" s="429">
        <v>4480</v>
      </c>
      <c r="J19" s="462"/>
      <c r="K19" s="463"/>
      <c r="L19" s="464">
        <v>-1.216666666666659</v>
      </c>
      <c r="M19" s="465">
        <v>-5450</v>
      </c>
      <c r="N19" s="466">
        <v>-5450</v>
      </c>
      <c r="O19" s="325" t="s">
        <v>378</v>
      </c>
      <c r="P19" s="302" t="s">
        <v>515</v>
      </c>
      <c r="Q19" s="326" t="s">
        <v>506</v>
      </c>
      <c r="R19" s="285"/>
    </row>
    <row r="20" spans="1:18" ht="120" customHeight="1">
      <c r="A20" s="415">
        <v>10</v>
      </c>
      <c r="B20" s="347">
        <v>170</v>
      </c>
      <c r="C20" s="335" t="s">
        <v>3</v>
      </c>
      <c r="D20" s="336">
        <v>1524</v>
      </c>
      <c r="E20" s="353">
        <f t="shared" si="1"/>
        <v>170</v>
      </c>
      <c r="F20" s="335" t="str">
        <f t="shared" si="2"/>
        <v>전</v>
      </c>
      <c r="G20" s="337">
        <v>1461</v>
      </c>
      <c r="H20" s="338">
        <v>0.16666666666666666</v>
      </c>
      <c r="I20" s="430">
        <v>7080</v>
      </c>
      <c r="J20" s="469"/>
      <c r="K20" s="470"/>
      <c r="L20" s="471">
        <v>-10.5</v>
      </c>
      <c r="M20" s="472">
        <v>-74340</v>
      </c>
      <c r="N20" s="473">
        <v>-74340</v>
      </c>
      <c r="O20" s="339" t="s">
        <v>379</v>
      </c>
      <c r="P20" s="340" t="s">
        <v>516</v>
      </c>
      <c r="Q20" s="341" t="s">
        <v>504</v>
      </c>
      <c r="R20" s="287"/>
    </row>
    <row r="21" spans="1:18" ht="120" customHeight="1" thickBot="1">
      <c r="A21" s="416"/>
      <c r="B21" s="346">
        <v>324</v>
      </c>
      <c r="C21" s="322" t="s">
        <v>3</v>
      </c>
      <c r="D21" s="333">
        <v>922</v>
      </c>
      <c r="E21" s="352">
        <f t="shared" si="1"/>
        <v>324</v>
      </c>
      <c r="F21" s="322" t="str">
        <f t="shared" si="2"/>
        <v>전</v>
      </c>
      <c r="G21" s="323">
        <v>914.7</v>
      </c>
      <c r="H21" s="334">
        <v>0.16666666666666666</v>
      </c>
      <c r="I21" s="429">
        <v>4480</v>
      </c>
      <c r="J21" s="462"/>
      <c r="K21" s="463"/>
      <c r="L21" s="464">
        <v>-1.216666666666659</v>
      </c>
      <c r="M21" s="465">
        <v>-5450</v>
      </c>
      <c r="N21" s="466">
        <v>-5450</v>
      </c>
      <c r="O21" s="325" t="s">
        <v>380</v>
      </c>
      <c r="P21" s="314" t="s">
        <v>516</v>
      </c>
      <c r="Q21" s="326" t="s">
        <v>504</v>
      </c>
      <c r="R21" s="285"/>
    </row>
    <row r="22" spans="1:18">
      <c r="A22" s="160"/>
      <c r="I22" s="431"/>
      <c r="J22" s="277"/>
      <c r="K22" s="277"/>
      <c r="L22" s="277"/>
      <c r="M22" s="277"/>
      <c r="N22" s="283"/>
    </row>
    <row r="25" spans="1:18" hidden="1"/>
  </sheetData>
  <sortState ref="B8:Q19">
    <sortCondition ref="P8:P19"/>
  </sortState>
  <mergeCells count="22">
    <mergeCell ref="P6:P7"/>
    <mergeCell ref="A13:A14"/>
    <mergeCell ref="A18:A19"/>
    <mergeCell ref="A20:A21"/>
    <mergeCell ref="J6:K6"/>
    <mergeCell ref="L6:M6"/>
    <mergeCell ref="R5:R7"/>
    <mergeCell ref="Q5:Q7"/>
    <mergeCell ref="O6:O7"/>
    <mergeCell ref="A11:A12"/>
    <mergeCell ref="A1:Q1"/>
    <mergeCell ref="A3:P3"/>
    <mergeCell ref="A4:Q4"/>
    <mergeCell ref="A5:A7"/>
    <mergeCell ref="B6:B7"/>
    <mergeCell ref="C6:C7"/>
    <mergeCell ref="D6:D7"/>
    <mergeCell ref="E6:E7"/>
    <mergeCell ref="F6:F7"/>
    <mergeCell ref="G6:G7"/>
    <mergeCell ref="H5:H7"/>
    <mergeCell ref="I5:I7"/>
  </mergeCells>
  <phoneticPr fontId="20" type="noConversion"/>
  <printOptions horizontalCentered="1"/>
  <pageMargins left="0.23622047244094491" right="0.23622047244094491" top="0.94488188976377963" bottom="7.874015748031496E-2" header="0.31496062992125984" footer="0.31496062992125984"/>
  <pageSetup paperSize="9"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5</vt:i4>
      </vt:variant>
    </vt:vector>
  </HeadingPairs>
  <TitlesOfParts>
    <vt:vector size="8" baseType="lpstr">
      <vt:lpstr>조정금조서 (지번별)</vt:lpstr>
      <vt:lpstr>조정금조서 (소유자별)</vt:lpstr>
      <vt:lpstr>조정금 공시송달 조서</vt:lpstr>
      <vt:lpstr>㎡당1_가_격</vt:lpstr>
      <vt:lpstr>'조정금 공시송달 조서'!Print_Area</vt:lpstr>
      <vt:lpstr>'조정금 공시송달 조서'!Print_Titles</vt:lpstr>
      <vt:lpstr>'조정금조서 (소유자별)'!Print_Titles</vt:lpstr>
      <vt:lpstr>'조정금조서 (지번별)'!Print_Titles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이호석</dc:creator>
  <cp:lastModifiedBy>owner</cp:lastModifiedBy>
  <cp:lastPrinted>2015-09-07T10:40:22Z</cp:lastPrinted>
  <dcterms:created xsi:type="dcterms:W3CDTF">2014-07-08T01:30:16Z</dcterms:created>
  <dcterms:modified xsi:type="dcterms:W3CDTF">2015-09-07T11:36:02Z</dcterms:modified>
</cp:coreProperties>
</file>