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CAD24DD4-FD0F-4520-A8C7-7727B6B813A0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" i="9" l="1"/>
  <c r="I34" i="9"/>
  <c r="H34" i="9"/>
  <c r="G34" i="9"/>
  <c r="F34" i="9"/>
  <c r="E34" i="9"/>
  <c r="D34" i="9"/>
  <c r="C34" i="9"/>
  <c r="B34" i="9"/>
  <c r="A34" i="9"/>
  <c r="J33" i="9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H34" i="10"/>
  <c r="G34" i="10"/>
  <c r="F34" i="10"/>
  <c r="E34" i="10"/>
  <c r="D34" i="10"/>
  <c r="C34" i="10"/>
  <c r="B34" i="10"/>
  <c r="A34" i="10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J34" i="4"/>
  <c r="I34" i="4"/>
  <c r="H34" i="4"/>
  <c r="G34" i="4"/>
  <c r="F34" i="4"/>
  <c r="E34" i="4"/>
  <c r="D34" i="4"/>
  <c r="C34" i="4"/>
  <c r="B34" i="4"/>
  <c r="A34" i="4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I36" i="4" l="1"/>
  <c r="I35" i="4"/>
  <c r="I37" i="4" l="1"/>
  <c r="I35" i="9"/>
  <c r="I36" i="9"/>
  <c r="I37" i="9"/>
  <c r="K13" i="10"/>
  <c r="K14" i="10"/>
  <c r="K27" i="10"/>
  <c r="K34" i="10"/>
  <c r="L34" i="10"/>
  <c r="M34" i="10"/>
  <c r="N34" i="10"/>
  <c r="O34" i="10"/>
  <c r="P34" i="10"/>
  <c r="Q3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C35" i="4"/>
  <c r="G37" i="4"/>
  <c r="G35" i="4"/>
  <c r="D35" i="4"/>
  <c r="D37" i="4"/>
  <c r="H35" i="4"/>
  <c r="H37" i="4"/>
  <c r="C36" i="4"/>
  <c r="G36" i="4"/>
  <c r="E35" i="4"/>
  <c r="E37" i="4"/>
  <c r="D36" i="4"/>
  <c r="H36" i="4"/>
  <c r="E36" i="9"/>
  <c r="B37" i="4"/>
  <c r="B35" i="4"/>
  <c r="F37" i="4"/>
  <c r="F35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<sst xmlns="http://schemas.openxmlformats.org/spreadsheetml/2006/main" count="50" uniqueCount="27">
  <si>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</si>
  <si>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</si>
  <si>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</si>
  <si>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</si>
  <si>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</si>
  <si>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</si>
  <si>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</si>
  <si>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</si>
  <si>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</si>
  <si>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</si>
  <si>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</si>
  <si>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</si>
  <si>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</si>
  <si>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</si>
  <si>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</si>
  <si>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</si>
  <si>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</si>
  <si>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</si>
  <si>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</si>
  <si>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</si>
  <si>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</si>
  <si>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</si>
  <si>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</si>
  <si>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</si>
  <si>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(5월) - 유입수</t>
    <phoneticPr fontId="1" type="noConversion"/>
  </si>
  <si>
    <t>■ 황간공공하수처리시설 월보 (5월) - 총인유입수</t>
    <phoneticPr fontId="1" type="noConversion"/>
  </si>
  <si>
    <t>■ 황간공공하수처리시설 월보 (5월) - 방류수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</si>
</sst>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7" xfId="0" applyBorder="1">
      <alignment vertical="center"/>
    </xf>
    <xf numFmtId="0" fontId="0" fillId="0" borderId="26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7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8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182" fontId="0" fillId="0" borderId="28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30&#5106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31&#51068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31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5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5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44317</v>
          </cell>
        </row>
        <row r="26">
          <cell r="D26">
            <v>18.95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18.850000000000001</v>
          </cell>
          <cell r="E28">
            <v>6.6550000000000002</v>
          </cell>
        </row>
      </sheetData>
      <sheetData sheetId="1">
        <row r="9">
          <cell r="C9">
            <v>147.60000000000002</v>
          </cell>
          <cell r="D9">
            <v>74.948442250488</v>
          </cell>
          <cell r="E9">
            <v>173.33333333333343</v>
          </cell>
          <cell r="F9">
            <v>49.953600000000002</v>
          </cell>
          <cell r="G9">
            <v>5.7638400000000001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1.0600000000000005</v>
          </cell>
          <cell r="D11">
            <v>5.7111863923200001</v>
          </cell>
          <cell r="E11">
            <v>2.6666666666666572</v>
          </cell>
          <cell r="F11">
            <v>6.5129999999999999</v>
          </cell>
          <cell r="G11">
            <v>7.2999999999999995E-2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566</v>
          </cell>
        </row>
        <row r="13">
          <cell r="G13">
            <v>532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44322</v>
          </cell>
        </row>
        <row r="26">
          <cell r="D26">
            <v>18.850000000000001</v>
          </cell>
          <cell r="E26">
            <v>7.2949999999999999</v>
          </cell>
        </row>
        <row r="27">
          <cell r="E27">
            <v>6.7750000000000004</v>
          </cell>
        </row>
        <row r="28">
          <cell r="D28">
            <v>18.899999999999999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95.241238211503997</v>
          </cell>
          <cell r="E9">
            <v>160.00000000000037</v>
          </cell>
          <cell r="F9">
            <v>38.791199999999996</v>
          </cell>
          <cell r="G9">
            <v>3.9432</v>
          </cell>
          <cell r="H9">
            <v>200000</v>
          </cell>
        </row>
        <row r="10">
          <cell r="C10">
            <v>9.18</v>
          </cell>
          <cell r="D10">
            <v>17.428491266594001</v>
          </cell>
          <cell r="E10">
            <v>11.600000000000021</v>
          </cell>
          <cell r="F10">
            <v>9.94848</v>
          </cell>
          <cell r="G10">
            <v>0.234432</v>
          </cell>
          <cell r="H10">
            <v>720</v>
          </cell>
        </row>
        <row r="11">
          <cell r="C11">
            <v>1.25</v>
          </cell>
          <cell r="D11">
            <v>5.3771609860160003</v>
          </cell>
          <cell r="E11">
            <v>3</v>
          </cell>
          <cell r="F11">
            <v>7.359840000000001</v>
          </cell>
          <cell r="G11">
            <v>5.0735999999999996E-2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571</v>
          </cell>
        </row>
        <row r="13">
          <cell r="G13">
            <v>526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44323</v>
          </cell>
        </row>
        <row r="26">
          <cell r="D26">
            <v>18.850000000000001</v>
          </cell>
          <cell r="E26">
            <v>7.5600000000000005</v>
          </cell>
        </row>
        <row r="27">
          <cell r="E27">
            <v>6.8449999999999998</v>
          </cell>
        </row>
        <row r="28">
          <cell r="D28">
            <v>18.850000000000001</v>
          </cell>
          <cell r="E28">
            <v>6.7350000000000003</v>
          </cell>
        </row>
      </sheetData>
      <sheetData sheetId="1">
        <row r="9">
          <cell r="C9">
            <v>151.19999999999999</v>
          </cell>
          <cell r="D9">
            <v>13.041341035304001</v>
          </cell>
          <cell r="E9">
            <v>173.33333333333343</v>
          </cell>
          <cell r="F9">
            <v>39.470399999999998</v>
          </cell>
          <cell r="G9">
            <v>3.8793600000000006</v>
          </cell>
          <cell r="H9">
            <v>190000</v>
          </cell>
        </row>
        <row r="10">
          <cell r="C10">
            <v>8.6850000000000023</v>
          </cell>
          <cell r="D10">
            <v>0</v>
          </cell>
          <cell r="E10">
            <v>10.800000000000011</v>
          </cell>
          <cell r="F10">
            <v>12.508800000000001</v>
          </cell>
          <cell r="G10">
            <v>0.41596799999999995</v>
          </cell>
          <cell r="H10">
            <v>650</v>
          </cell>
        </row>
        <row r="11">
          <cell r="C11">
            <v>1.3200000000000003</v>
          </cell>
          <cell r="D11">
            <v>6.2034465369339999</v>
          </cell>
          <cell r="E11">
            <v>2.2000000000000175</v>
          </cell>
          <cell r="F11">
            <v>7.5470400000000009</v>
          </cell>
          <cell r="G11">
            <v>5.2080000000000008E-2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561</v>
          </cell>
        </row>
        <row r="13">
          <cell r="G13">
            <v>582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44324</v>
          </cell>
        </row>
        <row r="26">
          <cell r="D26">
            <v>19.05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18.95</v>
          </cell>
          <cell r="E28">
            <v>6.6550000000000002</v>
          </cell>
        </row>
      </sheetData>
      <sheetData sheetId="1">
        <row r="9">
          <cell r="C9">
            <v>150.89999999999998</v>
          </cell>
          <cell r="D9">
            <v>86.518299594208003</v>
          </cell>
          <cell r="E9">
            <v>176.66666666666657</v>
          </cell>
          <cell r="F9">
            <v>54.647999999999996</v>
          </cell>
          <cell r="G9">
            <v>5.2065600000000005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0.99000000000000021</v>
          </cell>
          <cell r="D11">
            <v>4.47539704227</v>
          </cell>
          <cell r="E11">
            <v>2.8000000000000114</v>
          </cell>
          <cell r="F11">
            <v>6.3710000000000004</v>
          </cell>
          <cell r="G11">
            <v>9.4E-2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551</v>
          </cell>
        </row>
        <row r="13">
          <cell r="G13">
            <v>523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44325</v>
          </cell>
        </row>
        <row r="26">
          <cell r="D26">
            <v>18.95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18.95</v>
          </cell>
          <cell r="E28">
            <v>6.6550000000000002</v>
          </cell>
        </row>
      </sheetData>
      <sheetData sheetId="1">
        <row r="9">
          <cell r="C9">
            <v>153.6</v>
          </cell>
          <cell r="D9">
            <v>82.535472395743994</v>
          </cell>
          <cell r="E9">
            <v>140.00000000000009</v>
          </cell>
          <cell r="F9">
            <v>43.884</v>
          </cell>
          <cell r="G9">
            <v>4.3267199999999999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1.1399999999999997</v>
          </cell>
          <cell r="D11">
            <v>4.4424396182179997</v>
          </cell>
          <cell r="E11">
            <v>3</v>
          </cell>
          <cell r="F11">
            <v>6.407</v>
          </cell>
          <cell r="G11">
            <v>6.4000000000000001E-2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552</v>
          </cell>
        </row>
        <row r="13">
          <cell r="G13">
            <v>528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44326</v>
          </cell>
        </row>
        <row r="26">
          <cell r="D26">
            <v>19.05</v>
          </cell>
          <cell r="E26">
            <v>7.5049999999999999</v>
          </cell>
        </row>
        <row r="27">
          <cell r="E27">
            <v>6.8149999999999995</v>
          </cell>
        </row>
        <row r="28">
          <cell r="D28">
            <v>19.100000000000001</v>
          </cell>
          <cell r="E28">
            <v>6.6550000000000002</v>
          </cell>
        </row>
      </sheetData>
      <sheetData sheetId="1">
        <row r="9">
          <cell r="C9">
            <v>152.70000000000002</v>
          </cell>
          <cell r="D9">
            <v>89.077864412951996</v>
          </cell>
          <cell r="E9">
            <v>163.33333333333351</v>
          </cell>
          <cell r="F9">
            <v>59.678399999999996</v>
          </cell>
          <cell r="G9">
            <v>5.2180800000000005</v>
          </cell>
          <cell r="H9">
            <v>200000</v>
          </cell>
        </row>
        <row r="10">
          <cell r="C10">
            <v>8.2949999999999982</v>
          </cell>
          <cell r="D10">
            <v>21.486201496122</v>
          </cell>
          <cell r="E10">
            <v>11.199999999999989</v>
          </cell>
          <cell r="F10">
            <v>10.289760000000001</v>
          </cell>
          <cell r="G10">
            <v>0.33614400000000005</v>
          </cell>
          <cell r="H10">
            <v>620</v>
          </cell>
        </row>
        <row r="11">
          <cell r="C11">
            <v>1.5199999999999996</v>
          </cell>
          <cell r="D11">
            <v>4.7432746822340004</v>
          </cell>
          <cell r="E11">
            <v>3</v>
          </cell>
          <cell r="F11">
            <v>8.0284800000000001</v>
          </cell>
          <cell r="G11">
            <v>5.3376E-2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512</v>
          </cell>
        </row>
        <row r="13">
          <cell r="G13">
            <v>477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629</v>
          </cell>
        </row>
        <row r="13">
          <cell r="G13">
            <v>763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44327</v>
          </cell>
        </row>
        <row r="26">
          <cell r="D26">
            <v>18.850000000000001</v>
          </cell>
          <cell r="E26">
            <v>7.4050000000000002</v>
          </cell>
        </row>
        <row r="27">
          <cell r="E27">
            <v>6.8049999999999997</v>
          </cell>
        </row>
        <row r="28">
          <cell r="D28">
            <v>18.95</v>
          </cell>
          <cell r="E28">
            <v>6.6550000000000002</v>
          </cell>
        </row>
      </sheetData>
      <sheetData sheetId="1">
        <row r="9">
          <cell r="C9">
            <v>150</v>
          </cell>
          <cell r="D9">
            <v>60.706222483235997</v>
          </cell>
          <cell r="E9">
            <v>143.33333333333368</v>
          </cell>
          <cell r="F9">
            <v>45.544799999999995</v>
          </cell>
          <cell r="G9">
            <v>3.9177600000000004</v>
          </cell>
          <cell r="H9">
            <v>190000</v>
          </cell>
        </row>
        <row r="10">
          <cell r="C10">
            <v>8.5499999999999989</v>
          </cell>
          <cell r="D10">
            <v>18.459568573532</v>
          </cell>
          <cell r="E10">
            <v>10.400000000000034</v>
          </cell>
          <cell r="F10">
            <v>10.117439999999998</v>
          </cell>
          <cell r="G10">
            <v>0.54787200000000003</v>
          </cell>
          <cell r="H10">
            <v>620</v>
          </cell>
        </row>
        <row r="11">
          <cell r="C11">
            <v>1.0599999999999996</v>
          </cell>
          <cell r="D11">
            <v>4.7453629549540004</v>
          </cell>
          <cell r="E11">
            <v>2.8000000000000114</v>
          </cell>
          <cell r="F11">
            <v>8.5132799999999982</v>
          </cell>
          <cell r="G11">
            <v>4.7472E-2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661</v>
          </cell>
        </row>
        <row r="13">
          <cell r="G13">
            <v>654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44328</v>
          </cell>
        </row>
        <row r="26">
          <cell r="D26">
            <v>18.95</v>
          </cell>
          <cell r="E26">
            <v>7.3249999999999993</v>
          </cell>
        </row>
        <row r="27">
          <cell r="E27">
            <v>6.7850000000000001</v>
          </cell>
        </row>
        <row r="28">
          <cell r="D28">
            <v>19.149999999999999</v>
          </cell>
          <cell r="E28">
            <v>6.6550000000000002</v>
          </cell>
        </row>
      </sheetData>
      <sheetData sheetId="1">
        <row r="9">
          <cell r="C9">
            <v>145.80000000000004</v>
          </cell>
          <cell r="D9">
            <v>63.860220020295998</v>
          </cell>
          <cell r="E9">
            <v>150</v>
          </cell>
          <cell r="F9">
            <v>40.919999999999995</v>
          </cell>
          <cell r="G9">
            <v>4.1471999999999998</v>
          </cell>
          <cell r="H9">
            <v>200000</v>
          </cell>
        </row>
        <row r="10">
          <cell r="C10">
            <v>7.6799999999999988</v>
          </cell>
          <cell r="D10">
            <v>20.431308844556</v>
          </cell>
          <cell r="E10">
            <v>10.799999999999955</v>
          </cell>
          <cell r="F10">
            <v>11.365440000000001</v>
          </cell>
          <cell r="G10">
            <v>0.53414399999999995</v>
          </cell>
          <cell r="H10">
            <v>720</v>
          </cell>
        </row>
        <row r="11">
          <cell r="C11">
            <v>1.4200000000000008</v>
          </cell>
          <cell r="D11">
            <v>4.680091178234</v>
          </cell>
          <cell r="E11">
            <v>3</v>
          </cell>
          <cell r="F11">
            <v>7.3588799999999992</v>
          </cell>
          <cell r="G11">
            <v>6.0816000000000002E-2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616</v>
          </cell>
        </row>
        <row r="13">
          <cell r="G13">
            <v>538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44329</v>
          </cell>
        </row>
        <row r="26">
          <cell r="D26">
            <v>18.850000000000001</v>
          </cell>
          <cell r="E26">
            <v>7.42</v>
          </cell>
        </row>
        <row r="27">
          <cell r="E27">
            <v>6.8149999999999995</v>
          </cell>
        </row>
        <row r="28">
          <cell r="D28">
            <v>19.05</v>
          </cell>
          <cell r="E28">
            <v>6.665</v>
          </cell>
        </row>
      </sheetData>
      <sheetData sheetId="1">
        <row r="9">
          <cell r="C9">
            <v>146.99999999999997</v>
          </cell>
          <cell r="D9">
            <v>85.765494758784001</v>
          </cell>
          <cell r="E9">
            <v>160.00000000000037</v>
          </cell>
          <cell r="F9">
            <v>47.704799999999999</v>
          </cell>
          <cell r="G9">
            <v>4.6195200000000005</v>
          </cell>
          <cell r="H9">
            <v>190000</v>
          </cell>
        </row>
        <row r="10">
          <cell r="C10">
            <v>7.7850000000000001</v>
          </cell>
          <cell r="D10">
            <v>20.147119789693999</v>
          </cell>
          <cell r="E10">
            <v>11.199999999999989</v>
          </cell>
          <cell r="F10">
            <v>7.246080000000001</v>
          </cell>
          <cell r="G10">
            <v>0.54009600000000002</v>
          </cell>
          <cell r="H10">
            <v>630</v>
          </cell>
        </row>
        <row r="11">
          <cell r="C11">
            <v>1.5000000000000009</v>
          </cell>
          <cell r="D11">
            <v>5.0847003206999997</v>
          </cell>
          <cell r="E11">
            <v>2.8000000000000114</v>
          </cell>
          <cell r="F11">
            <v>6.9340799999999989</v>
          </cell>
          <cell r="G11">
            <v>7.1760000000000004E-2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624</v>
          </cell>
        </row>
        <row r="13">
          <cell r="G13">
            <v>530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44330</v>
          </cell>
        </row>
        <row r="26">
          <cell r="D26">
            <v>19.25</v>
          </cell>
          <cell r="E26">
            <v>7.4050000000000002</v>
          </cell>
        </row>
        <row r="27">
          <cell r="E27">
            <v>6.7750000000000004</v>
          </cell>
        </row>
        <row r="28">
          <cell r="D28">
            <v>19.3</v>
          </cell>
          <cell r="E28">
            <v>6.6550000000000002</v>
          </cell>
        </row>
      </sheetData>
      <sheetData sheetId="1">
        <row r="9">
          <cell r="C9">
            <v>146.1</v>
          </cell>
          <cell r="D9">
            <v>64.793829950855994</v>
          </cell>
          <cell r="E9">
            <v>150</v>
          </cell>
          <cell r="F9">
            <v>36.129599999999996</v>
          </cell>
          <cell r="G9">
            <v>4.0103999999999997</v>
          </cell>
          <cell r="H9">
            <v>200000</v>
          </cell>
        </row>
        <row r="10">
          <cell r="C10">
            <v>7.7099999999999991</v>
          </cell>
          <cell r="D10">
            <v>0</v>
          </cell>
          <cell r="E10">
            <v>11.199999999999989</v>
          </cell>
          <cell r="F10">
            <v>11.1648</v>
          </cell>
          <cell r="G10">
            <v>0.59904000000000002</v>
          </cell>
          <cell r="H10">
            <v>610</v>
          </cell>
        </row>
        <row r="11">
          <cell r="C11">
            <v>1.3999999999999995</v>
          </cell>
          <cell r="D11">
            <v>5.7070012033420001</v>
          </cell>
          <cell r="E11">
            <v>3.2000000000000175</v>
          </cell>
          <cell r="F11">
            <v>6.8755199999999999</v>
          </cell>
          <cell r="G11">
            <v>7.6895999999999992E-2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586</v>
          </cell>
        </row>
        <row r="13">
          <cell r="G13">
            <v>530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44331</v>
          </cell>
        </row>
        <row r="26">
          <cell r="D26">
            <v>18.850000000000001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18.899999999999999</v>
          </cell>
          <cell r="E28">
            <v>6.66</v>
          </cell>
        </row>
      </sheetData>
      <sheetData sheetId="1">
        <row r="9">
          <cell r="C9">
            <v>161.39999999999998</v>
          </cell>
          <cell r="D9">
            <v>59.212075754224003</v>
          </cell>
          <cell r="E9">
            <v>143.33333333333368</v>
          </cell>
          <cell r="F9">
            <v>47.717999999999996</v>
          </cell>
          <cell r="G9">
            <v>5.2416000000000009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1.4899999999999993</v>
          </cell>
          <cell r="D11">
            <v>4.4276731363020003</v>
          </cell>
          <cell r="E11">
            <v>2.4</v>
          </cell>
          <cell r="F11">
            <v>6.02</v>
          </cell>
          <cell r="G11">
            <v>0.112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44318</v>
          </cell>
        </row>
        <row r="26">
          <cell r="D26">
            <v>18.8</v>
          </cell>
          <cell r="E26">
            <v>7.5250000000000004</v>
          </cell>
        </row>
        <row r="27">
          <cell r="E27">
            <v>0</v>
          </cell>
        </row>
        <row r="28">
          <cell r="D28">
            <v>19</v>
          </cell>
          <cell r="E28">
            <v>6.665</v>
          </cell>
        </row>
      </sheetData>
      <sheetData sheetId="1">
        <row r="9">
          <cell r="C9">
            <v>123.00000000000001</v>
          </cell>
          <cell r="D9">
            <v>73.166574878852003</v>
          </cell>
          <cell r="E9">
            <v>170.00000000000028</v>
          </cell>
          <cell r="F9">
            <v>52.484399999999994</v>
          </cell>
          <cell r="G9">
            <v>5.1760799999999998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1.1600000000000001</v>
          </cell>
          <cell r="D11">
            <v>5.4459064128000003</v>
          </cell>
          <cell r="E11">
            <v>3.1999999999999886</v>
          </cell>
          <cell r="F11">
            <v>6.2679999999999998</v>
          </cell>
          <cell r="G11">
            <v>7.4999999999999997E-2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556</v>
          </cell>
        </row>
        <row r="13">
          <cell r="G13">
            <v>565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44332</v>
          </cell>
        </row>
        <row r="26">
          <cell r="D26">
            <v>18.75</v>
          </cell>
          <cell r="E26">
            <v>7.2949999999999999</v>
          </cell>
        </row>
        <row r="27">
          <cell r="E27">
            <v>0</v>
          </cell>
        </row>
        <row r="28">
          <cell r="D28">
            <v>18.850000000000001</v>
          </cell>
          <cell r="E28">
            <v>6.665</v>
          </cell>
        </row>
      </sheetData>
      <sheetData sheetId="1">
        <row r="9">
          <cell r="C9">
            <v>139.5</v>
          </cell>
          <cell r="D9">
            <v>57.589561995419999</v>
          </cell>
          <cell r="E9">
            <v>166.66666666666666</v>
          </cell>
          <cell r="F9">
            <v>38.419200000000011</v>
          </cell>
          <cell r="G9">
            <v>3.1956000000000007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1.3900000000000006</v>
          </cell>
          <cell r="D11">
            <v>4.5244216556100003</v>
          </cell>
          <cell r="E11">
            <v>2</v>
          </cell>
          <cell r="F11">
            <v>6.4619999999999997</v>
          </cell>
          <cell r="G11">
            <v>8.2512000000000002E-2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924</v>
          </cell>
        </row>
        <row r="13">
          <cell r="G13">
            <v>893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44333</v>
          </cell>
        </row>
        <row r="26">
          <cell r="D26">
            <v>19.05</v>
          </cell>
          <cell r="E26">
            <v>7.4050000000000002</v>
          </cell>
        </row>
        <row r="27">
          <cell r="E27">
            <v>6.8049999999999997</v>
          </cell>
        </row>
        <row r="28">
          <cell r="D28">
            <v>19</v>
          </cell>
          <cell r="E28">
            <v>6.665</v>
          </cell>
        </row>
      </sheetData>
      <sheetData sheetId="1">
        <row r="9">
          <cell r="C9">
            <v>153.00000000000006</v>
          </cell>
          <cell r="D9">
            <v>70.450833781135998</v>
          </cell>
          <cell r="E9">
            <v>150</v>
          </cell>
          <cell r="F9">
            <v>34.305599999999998</v>
          </cell>
          <cell r="G9">
            <v>2.9424000000000001</v>
          </cell>
          <cell r="H9">
            <v>190000</v>
          </cell>
        </row>
        <row r="10">
          <cell r="C10">
            <v>8.2799999999999994</v>
          </cell>
          <cell r="D10">
            <v>12.931619158482</v>
          </cell>
          <cell r="E10">
            <v>11.199999999999989</v>
          </cell>
          <cell r="F10">
            <v>8.5137599999999996</v>
          </cell>
          <cell r="G10">
            <v>0.34617599999999998</v>
          </cell>
          <cell r="H10">
            <v>610</v>
          </cell>
        </row>
        <row r="11">
          <cell r="C11">
            <v>1.1200000000000001</v>
          </cell>
          <cell r="D11">
            <v>5.1185742056460004</v>
          </cell>
          <cell r="E11">
            <v>2.8000000000000114</v>
          </cell>
          <cell r="F11">
            <v>6.9071999999999987</v>
          </cell>
          <cell r="G11">
            <v>4.3247999999999995E-2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984</v>
          </cell>
        </row>
        <row r="13">
          <cell r="G13">
            <v>1025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44334</v>
          </cell>
        </row>
        <row r="26">
          <cell r="D26">
            <v>19.850000000000001</v>
          </cell>
          <cell r="E26">
            <v>7.42</v>
          </cell>
        </row>
        <row r="27">
          <cell r="E27">
            <v>6.8149999999999995</v>
          </cell>
        </row>
        <row r="28">
          <cell r="D28">
            <v>19.850000000000001</v>
          </cell>
          <cell r="E28">
            <v>6.665</v>
          </cell>
        </row>
      </sheetData>
      <sheetData sheetId="1">
        <row r="9">
          <cell r="C9">
            <v>158.1</v>
          </cell>
          <cell r="D9">
            <v>68.418624741431998</v>
          </cell>
          <cell r="E9">
            <v>160.00000000000037</v>
          </cell>
          <cell r="F9">
            <v>54.3384</v>
          </cell>
          <cell r="G9">
            <v>3.4420799999999998</v>
          </cell>
          <cell r="H9">
            <v>200000</v>
          </cell>
        </row>
        <row r="10">
          <cell r="C10">
            <v>7.8450000000000006</v>
          </cell>
          <cell r="D10">
            <v>12.419282160168001</v>
          </cell>
          <cell r="E10">
            <v>11.199999999999989</v>
          </cell>
          <cell r="F10">
            <v>9.7147199999999998</v>
          </cell>
          <cell r="G10">
            <v>0.38217600000000007</v>
          </cell>
          <cell r="H10">
            <v>610</v>
          </cell>
        </row>
        <row r="11">
          <cell r="C11">
            <v>1.2900000000000009</v>
          </cell>
          <cell r="D11">
            <v>4.8260251115479997</v>
          </cell>
          <cell r="E11">
            <v>3</v>
          </cell>
          <cell r="F11">
            <v>6.7737600000000002</v>
          </cell>
          <cell r="G11">
            <v>4.4063999999999999E-2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763</v>
          </cell>
        </row>
        <row r="13">
          <cell r="G13">
            <v>728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44335</v>
          </cell>
        </row>
        <row r="26">
          <cell r="D26">
            <v>19.8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19.850000000000001</v>
          </cell>
          <cell r="E28">
            <v>6.6550000000000002</v>
          </cell>
        </row>
      </sheetData>
      <sheetData sheetId="1">
        <row r="9">
          <cell r="C9">
            <v>166.49999999999997</v>
          </cell>
          <cell r="D9">
            <v>71.802511630992001</v>
          </cell>
          <cell r="E9">
            <v>153.3333333333336</v>
          </cell>
          <cell r="F9">
            <v>37.972799999999999</v>
          </cell>
          <cell r="G9">
            <v>4.2477599999999995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1.25</v>
          </cell>
          <cell r="D11">
            <v>4.8982300635560003</v>
          </cell>
          <cell r="E11">
            <v>2.5999999999999948</v>
          </cell>
          <cell r="F11">
            <v>6.61</v>
          </cell>
          <cell r="G11">
            <v>0.125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705</v>
          </cell>
        </row>
        <row r="13">
          <cell r="G13">
            <v>694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44336</v>
          </cell>
        </row>
        <row r="26">
          <cell r="D26">
            <v>19.850000000000001</v>
          </cell>
          <cell r="E26">
            <v>7.4050000000000002</v>
          </cell>
        </row>
        <row r="27">
          <cell r="E27">
            <v>6.8049999999999997</v>
          </cell>
        </row>
        <row r="28">
          <cell r="D28">
            <v>19.95</v>
          </cell>
          <cell r="E28">
            <v>6.67</v>
          </cell>
        </row>
      </sheetData>
      <sheetData sheetId="1">
        <row r="9">
          <cell r="C9">
            <v>150.29999999999998</v>
          </cell>
          <cell r="D9">
            <v>50.580580485779997</v>
          </cell>
          <cell r="E9">
            <v>153.33333333333314</v>
          </cell>
          <cell r="F9">
            <v>51.148800000000001</v>
          </cell>
          <cell r="G9">
            <v>5.5531199999999998</v>
          </cell>
          <cell r="H9">
            <v>200000</v>
          </cell>
        </row>
        <row r="10">
          <cell r="C10">
            <v>8.25</v>
          </cell>
          <cell r="D10">
            <v>7.2535204675460001</v>
          </cell>
          <cell r="E10">
            <v>9.600000000000021</v>
          </cell>
          <cell r="F10">
            <v>8.2161600000000004</v>
          </cell>
          <cell r="G10">
            <v>0.24739199999999997</v>
          </cell>
          <cell r="H10">
            <v>620</v>
          </cell>
        </row>
        <row r="11">
          <cell r="C11">
            <v>1.2799999999999994</v>
          </cell>
          <cell r="D11">
            <v>4.2059730545280001</v>
          </cell>
          <cell r="E11">
            <v>2.5999999999999948</v>
          </cell>
          <cell r="F11">
            <v>7.9224000000000006</v>
          </cell>
          <cell r="G11">
            <v>5.7504E-2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578</v>
          </cell>
        </row>
        <row r="13">
          <cell r="G13">
            <v>646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759</v>
          </cell>
        </row>
        <row r="13">
          <cell r="G13">
            <v>821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44337</v>
          </cell>
        </row>
        <row r="26">
          <cell r="D26">
            <v>20.149999999999999</v>
          </cell>
          <cell r="E26">
            <v>7.4550000000000001</v>
          </cell>
        </row>
        <row r="27">
          <cell r="E27">
            <v>6.84</v>
          </cell>
        </row>
        <row r="28">
          <cell r="D28">
            <v>20.6</v>
          </cell>
          <cell r="E28">
            <v>6.6850000000000005</v>
          </cell>
        </row>
      </sheetData>
      <sheetData sheetId="1">
        <row r="9">
          <cell r="C9">
            <v>151.20000000000002</v>
          </cell>
          <cell r="D9">
            <v>45.308103658264002</v>
          </cell>
          <cell r="E9">
            <v>156.66666666666677</v>
          </cell>
          <cell r="F9">
            <v>46.994399999999999</v>
          </cell>
          <cell r="G9">
            <v>4.1524800000000006</v>
          </cell>
          <cell r="H9">
            <v>180000</v>
          </cell>
        </row>
        <row r="10">
          <cell r="C10">
            <v>7.4249999999999989</v>
          </cell>
          <cell r="D10">
            <v>0</v>
          </cell>
          <cell r="E10">
            <v>7.599999999999965</v>
          </cell>
          <cell r="F10">
            <v>7.8888000000000016</v>
          </cell>
          <cell r="G10">
            <v>0.31924799999999998</v>
          </cell>
          <cell r="H10">
            <v>690</v>
          </cell>
        </row>
        <row r="11">
          <cell r="C11">
            <v>1.4900000000000002</v>
          </cell>
          <cell r="D11">
            <v>5.3044579388560003</v>
          </cell>
          <cell r="E11">
            <v>2.6000000000000227</v>
          </cell>
          <cell r="F11">
            <v>7.7942399999999994</v>
          </cell>
          <cell r="G11">
            <v>5.0688000000000004E-2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772</v>
          </cell>
        </row>
        <row r="13">
          <cell r="G13">
            <v>689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44338</v>
          </cell>
        </row>
        <row r="26">
          <cell r="D26">
            <v>19.850000000000001</v>
          </cell>
          <cell r="E26">
            <v>7.4</v>
          </cell>
        </row>
        <row r="27">
          <cell r="E27">
            <v>0</v>
          </cell>
        </row>
        <row r="28">
          <cell r="D28">
            <v>19.899999999999999</v>
          </cell>
          <cell r="E28">
            <v>6.665</v>
          </cell>
        </row>
      </sheetData>
      <sheetData sheetId="1">
        <row r="9">
          <cell r="C9">
            <v>153.00000000000006</v>
          </cell>
          <cell r="D9">
            <v>89.273016337620007</v>
          </cell>
          <cell r="E9">
            <v>143.33333333333368</v>
          </cell>
          <cell r="F9">
            <v>53.263199999999998</v>
          </cell>
          <cell r="G9">
            <v>5.2435200000000002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0.95999999999999908</v>
          </cell>
          <cell r="D11">
            <v>4.4263211137320004</v>
          </cell>
          <cell r="E11">
            <v>1.9</v>
          </cell>
          <cell r="F11">
            <v>7.3849999999999998</v>
          </cell>
          <cell r="G11">
            <v>0.158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660</v>
          </cell>
        </row>
        <row r="13">
          <cell r="G13">
            <v>644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44339</v>
          </cell>
        </row>
        <row r="26">
          <cell r="D26">
            <v>19.95</v>
          </cell>
          <cell r="E26">
            <v>7.4249999999999998</v>
          </cell>
        </row>
        <row r="27">
          <cell r="E27">
            <v>0</v>
          </cell>
        </row>
        <row r="28">
          <cell r="D28">
            <v>19.899999999999999</v>
          </cell>
          <cell r="E28">
            <v>6.67</v>
          </cell>
        </row>
      </sheetData>
      <sheetData sheetId="1">
        <row r="9">
          <cell r="C9">
            <v>144.9</v>
          </cell>
          <cell r="D9">
            <v>87.348844687571997</v>
          </cell>
          <cell r="E9">
            <v>159.99999999999991</v>
          </cell>
          <cell r="F9">
            <v>57.388799999999996</v>
          </cell>
          <cell r="G9">
            <v>5.6947200000000002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1.3000000000000007</v>
          </cell>
          <cell r="D11">
            <v>4.4934552475520002</v>
          </cell>
          <cell r="E11">
            <v>1.8</v>
          </cell>
          <cell r="F11">
            <v>6.6829999999999998</v>
          </cell>
          <cell r="G11">
            <v>9.8000000000000004E-2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693</v>
          </cell>
        </row>
        <row r="13">
          <cell r="G13">
            <v>641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44340</v>
          </cell>
        </row>
        <row r="26">
          <cell r="D26">
            <v>19.95</v>
          </cell>
          <cell r="E26">
            <v>7.3949999999999996</v>
          </cell>
        </row>
        <row r="27">
          <cell r="E27">
            <v>6.8049999999999997</v>
          </cell>
        </row>
        <row r="28">
          <cell r="D28">
            <v>19.95</v>
          </cell>
          <cell r="E28">
            <v>6.665</v>
          </cell>
        </row>
      </sheetData>
      <sheetData sheetId="1">
        <row r="9">
          <cell r="C9">
            <v>153.00000000000006</v>
          </cell>
          <cell r="D9">
            <v>80.272769070156002</v>
          </cell>
          <cell r="E9">
            <v>150</v>
          </cell>
          <cell r="F9">
            <v>45.636000000000003</v>
          </cell>
          <cell r="G9">
            <v>4.16784</v>
          </cell>
          <cell r="H9">
            <v>200000</v>
          </cell>
        </row>
        <row r="10">
          <cell r="C10">
            <v>6.4799999999999986</v>
          </cell>
          <cell r="D10">
            <v>13.691684354704</v>
          </cell>
          <cell r="E10">
            <v>12.400000000000034</v>
          </cell>
          <cell r="F10">
            <v>6.5899200000000011</v>
          </cell>
          <cell r="G10">
            <v>0.44591999999999998</v>
          </cell>
          <cell r="H10">
            <v>620</v>
          </cell>
        </row>
        <row r="11">
          <cell r="C11">
            <v>1.5000000000000009</v>
          </cell>
          <cell r="D11">
            <v>5.4281635831520001</v>
          </cell>
          <cell r="E11">
            <v>2.4000000000000052</v>
          </cell>
          <cell r="F11">
            <v>4.98048</v>
          </cell>
          <cell r="G11">
            <v>5.4528E-2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651</v>
          </cell>
        </row>
        <row r="13">
          <cell r="G13">
            <v>656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44341</v>
          </cell>
        </row>
        <row r="26">
          <cell r="D26">
            <v>19.95</v>
          </cell>
          <cell r="E26">
            <v>7.4950000000000001</v>
          </cell>
        </row>
        <row r="27">
          <cell r="E27">
            <v>6.8449999999999998</v>
          </cell>
        </row>
        <row r="28">
          <cell r="D28">
            <v>20.05</v>
          </cell>
          <cell r="E28">
            <v>6.6749999999999998</v>
          </cell>
        </row>
      </sheetData>
      <sheetData sheetId="1">
        <row r="9">
          <cell r="C9">
            <v>146.99999999999997</v>
          </cell>
          <cell r="D9">
            <v>90.356476695235997</v>
          </cell>
          <cell r="E9">
            <v>160.00000000000037</v>
          </cell>
          <cell r="F9">
            <v>51.825600000000001</v>
          </cell>
          <cell r="G9">
            <v>5.6275199999999996</v>
          </cell>
          <cell r="H9">
            <v>200000</v>
          </cell>
        </row>
        <row r="10">
          <cell r="C10">
            <v>7.8450000000000006</v>
          </cell>
          <cell r="D10">
            <v>12.603524075764</v>
          </cell>
          <cell r="E10">
            <v>11.200000000000045</v>
          </cell>
          <cell r="F10">
            <v>6.08352</v>
          </cell>
          <cell r="G10">
            <v>0.341808</v>
          </cell>
          <cell r="H10">
            <v>610</v>
          </cell>
        </row>
        <row r="11">
          <cell r="C11">
            <v>1.2999999999999998</v>
          </cell>
          <cell r="D11">
            <v>5.1505733707200001</v>
          </cell>
          <cell r="E11">
            <v>3</v>
          </cell>
          <cell r="F11">
            <v>5.4446400000000006</v>
          </cell>
          <cell r="G11">
            <v>4.4304000000000003E-2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44319</v>
          </cell>
        </row>
        <row r="26">
          <cell r="D26">
            <v>18.899999999999999</v>
          </cell>
          <cell r="E26">
            <v>7.5049999999999999</v>
          </cell>
        </row>
        <row r="27">
          <cell r="E27">
            <v>6.8049999999999997</v>
          </cell>
        </row>
        <row r="28">
          <cell r="D28">
            <v>18.95</v>
          </cell>
          <cell r="E28">
            <v>6.6550000000000002</v>
          </cell>
        </row>
      </sheetData>
      <sheetData sheetId="1">
        <row r="9">
          <cell r="C9">
            <v>147.60000000000002</v>
          </cell>
          <cell r="D9">
            <v>84.159773978900006</v>
          </cell>
          <cell r="E9">
            <v>160.00000000000037</v>
          </cell>
          <cell r="F9">
            <v>52.072800000000001</v>
          </cell>
          <cell r="G9">
            <v>4.07904</v>
          </cell>
          <cell r="H9">
            <v>200000</v>
          </cell>
        </row>
        <row r="10">
          <cell r="C10">
            <v>7.9949999999999992</v>
          </cell>
          <cell r="D10">
            <v>15.456106138641999</v>
          </cell>
          <cell r="E10">
            <v>10.800000000000011</v>
          </cell>
          <cell r="F10">
            <v>9.3388799999999996</v>
          </cell>
          <cell r="G10">
            <v>0.35491200000000001</v>
          </cell>
          <cell r="H10">
            <v>610</v>
          </cell>
        </row>
        <row r="11">
          <cell r="C11">
            <v>0.96999999999999886</v>
          </cell>
          <cell r="D11">
            <v>5.9088940454400003</v>
          </cell>
          <cell r="E11">
            <v>2.6000000000000227</v>
          </cell>
          <cell r="F11">
            <v>7.548</v>
          </cell>
          <cell r="G11">
            <v>3.3360000000000001E-2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593</v>
          </cell>
        </row>
        <row r="13">
          <cell r="G13">
            <v>631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44342</v>
          </cell>
        </row>
        <row r="26">
          <cell r="D26">
            <v>20.149999999999999</v>
          </cell>
          <cell r="E26">
            <v>7.42</v>
          </cell>
        </row>
        <row r="27">
          <cell r="E27">
            <v>6.8049999999999997</v>
          </cell>
        </row>
        <row r="28">
          <cell r="D28">
            <v>20.100000000000001</v>
          </cell>
          <cell r="E28">
            <v>6.665</v>
          </cell>
        </row>
      </sheetData>
      <sheetData sheetId="1">
        <row r="9">
          <cell r="C9">
            <v>150.29999999999998</v>
          </cell>
          <cell r="D9">
            <v>96.363347161860005</v>
          </cell>
          <cell r="E9">
            <v>150</v>
          </cell>
          <cell r="F9">
            <v>43.132799999999996</v>
          </cell>
          <cell r="G9">
            <v>5.3644800000000004</v>
          </cell>
          <cell r="H9">
            <v>200000</v>
          </cell>
        </row>
        <row r="10">
          <cell r="C10">
            <v>8.1449999999999996</v>
          </cell>
          <cell r="D10">
            <v>10.234436639151999</v>
          </cell>
          <cell r="E10">
            <v>11.199999999999989</v>
          </cell>
          <cell r="F10">
            <v>6.8726400000000014</v>
          </cell>
          <cell r="G10">
            <v>0.31291200000000002</v>
          </cell>
          <cell r="H10">
            <v>610</v>
          </cell>
        </row>
        <row r="11">
          <cell r="C11">
            <v>1.2900000000000009</v>
          </cell>
          <cell r="D11">
            <v>5.1165382510560002</v>
          </cell>
          <cell r="E11">
            <v>2.5999999999999948</v>
          </cell>
          <cell r="F11">
            <v>6.6182400000000001</v>
          </cell>
          <cell r="G11">
            <v>7.7712000000000003E-2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604</v>
          </cell>
        </row>
        <row r="13">
          <cell r="G13">
            <v>544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44343</v>
          </cell>
        </row>
        <row r="26">
          <cell r="D26">
            <v>20.149999999999999</v>
          </cell>
          <cell r="E26">
            <v>7.5049999999999999</v>
          </cell>
        </row>
        <row r="27">
          <cell r="E27">
            <v>6.8250000000000002</v>
          </cell>
        </row>
        <row r="28">
          <cell r="D28">
            <v>20.149999999999999</v>
          </cell>
          <cell r="E28">
            <v>6.665</v>
          </cell>
        </row>
      </sheetData>
      <sheetData sheetId="1">
        <row r="9">
          <cell r="C9">
            <v>153.60000000000002</v>
          </cell>
          <cell r="D9">
            <v>89.756558178008007</v>
          </cell>
          <cell r="E9">
            <v>176.66666666666703</v>
          </cell>
          <cell r="F9">
            <v>55.8504</v>
          </cell>
          <cell r="G9">
            <v>4.0147199999999987</v>
          </cell>
          <cell r="H9">
            <v>200000</v>
          </cell>
        </row>
        <row r="10">
          <cell r="C10">
            <v>8.1000000000000014</v>
          </cell>
          <cell r="D10">
            <v>12.419086875626</v>
          </cell>
          <cell r="E10">
            <v>10.800000000000011</v>
          </cell>
          <cell r="F10">
            <v>8.5579200000000011</v>
          </cell>
          <cell r="G10">
            <v>0.38553599999999993</v>
          </cell>
          <cell r="H10">
            <v>710</v>
          </cell>
        </row>
        <row r="11">
          <cell r="C11">
            <v>1.370000000000001</v>
          </cell>
          <cell r="D11">
            <v>5.1863130407120002</v>
          </cell>
          <cell r="E11">
            <v>3</v>
          </cell>
          <cell r="F11">
            <v>8.299199999999999</v>
          </cell>
          <cell r="G11">
            <v>5.5440000000000003E-2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616</v>
          </cell>
        </row>
        <row r="13">
          <cell r="G13">
            <v>552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44344</v>
          </cell>
        </row>
        <row r="26">
          <cell r="D26">
            <v>20.149999999999999</v>
          </cell>
          <cell r="E26">
            <v>7.42</v>
          </cell>
        </row>
        <row r="27">
          <cell r="E27">
            <v>6.8049999999999997</v>
          </cell>
        </row>
        <row r="28">
          <cell r="D28">
            <v>20.149999999999999</v>
          </cell>
          <cell r="E28">
            <v>6.665</v>
          </cell>
        </row>
      </sheetData>
      <sheetData sheetId="1">
        <row r="9">
          <cell r="C9">
            <v>147.30000000000001</v>
          </cell>
          <cell r="D9">
            <v>91.424523280583998</v>
          </cell>
          <cell r="E9">
            <v>166.66666666666666</v>
          </cell>
          <cell r="F9">
            <v>41.858400000000003</v>
          </cell>
          <cell r="G9">
            <v>5.43072</v>
          </cell>
          <cell r="H9">
            <v>200000</v>
          </cell>
        </row>
        <row r="10">
          <cell r="C10">
            <v>7.9799999999999986</v>
          </cell>
          <cell r="D10">
            <v>0</v>
          </cell>
          <cell r="E10">
            <v>13.200000000000045</v>
          </cell>
          <cell r="F10">
            <v>8.0942399999999992</v>
          </cell>
          <cell r="G10">
            <v>0.36494400000000005</v>
          </cell>
          <cell r="H10">
            <v>610</v>
          </cell>
        </row>
        <row r="11">
          <cell r="C11">
            <v>1.2600000000000007</v>
          </cell>
          <cell r="D11">
            <v>5.1169434310520003</v>
          </cell>
          <cell r="E11">
            <v>2.8000000000000114</v>
          </cell>
          <cell r="F11">
            <v>7.884479999999999</v>
          </cell>
          <cell r="G11">
            <v>5.1408000000000002E-2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750</v>
          </cell>
        </row>
        <row r="13">
          <cell r="G13">
            <v>755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44345</v>
          </cell>
        </row>
        <row r="26">
          <cell r="D26">
            <v>20.149999999999999</v>
          </cell>
          <cell r="E26">
            <v>7.42</v>
          </cell>
        </row>
        <row r="27">
          <cell r="E27">
            <v>0</v>
          </cell>
        </row>
        <row r="28">
          <cell r="D28">
            <v>20.149999999999999</v>
          </cell>
          <cell r="E28">
            <v>6.665</v>
          </cell>
        </row>
      </sheetData>
      <sheetData sheetId="1">
        <row r="9">
          <cell r="C9">
            <v>153.60000000000002</v>
          </cell>
          <cell r="D9">
            <v>67.198487106520005</v>
          </cell>
          <cell r="E9">
            <v>150</v>
          </cell>
          <cell r="F9">
            <v>54.199199999999998</v>
          </cell>
          <cell r="G9">
            <v>5.3227200000000003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1.2999999999999998</v>
          </cell>
          <cell r="D11">
            <v>4.0503822547319999</v>
          </cell>
          <cell r="E11">
            <v>1.7</v>
          </cell>
          <cell r="F11">
            <v>7.1109999999999998</v>
          </cell>
          <cell r="G11">
            <v>4.2999999999999997E-2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662</v>
          </cell>
        </row>
        <row r="13">
          <cell r="G13">
            <v>676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44346</v>
          </cell>
        </row>
        <row r="26">
          <cell r="D26">
            <v>20.25</v>
          </cell>
          <cell r="E26">
            <v>7.415</v>
          </cell>
        </row>
        <row r="27">
          <cell r="E27">
            <v>0</v>
          </cell>
        </row>
        <row r="28">
          <cell r="D28">
            <v>20.2</v>
          </cell>
          <cell r="E28">
            <v>6.6749999999999998</v>
          </cell>
        </row>
      </sheetData>
      <sheetData sheetId="1">
        <row r="9">
          <cell r="C9">
            <v>153.60000000000002</v>
          </cell>
          <cell r="D9">
            <v>63.349439999768002</v>
          </cell>
          <cell r="E9">
            <v>159.99999999999991</v>
          </cell>
          <cell r="F9">
            <v>42.548400000000008</v>
          </cell>
          <cell r="G9">
            <v>4.59504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1.4200000000000008</v>
          </cell>
          <cell r="D11">
            <v>4.0624736638119998</v>
          </cell>
          <cell r="E11">
            <v>1.6</v>
          </cell>
          <cell r="F11">
            <v>6.6</v>
          </cell>
          <cell r="G11">
            <v>4.2000000000000003E-2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541</v>
          </cell>
        </row>
        <row r="13">
          <cell r="G13">
            <v>512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637</v>
          </cell>
        </row>
        <row r="13">
          <cell r="G13">
            <v>555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44347</v>
          </cell>
        </row>
        <row r="26">
          <cell r="D26">
            <v>20.149999999999999</v>
          </cell>
          <cell r="E26">
            <v>7.43</v>
          </cell>
        </row>
        <row r="27">
          <cell r="E27">
            <v>6.8049999999999997</v>
          </cell>
        </row>
        <row r="28">
          <cell r="D28">
            <v>20.05</v>
          </cell>
          <cell r="E28">
            <v>6.665</v>
          </cell>
        </row>
      </sheetData>
      <sheetData sheetId="1">
        <row r="9">
          <cell r="C9">
            <v>150.00000000000003</v>
          </cell>
          <cell r="D9">
            <v>72.465102673071996</v>
          </cell>
          <cell r="E9">
            <v>160.00000000000037</v>
          </cell>
          <cell r="F9">
            <v>31.240800000000004</v>
          </cell>
          <cell r="G9">
            <v>2.6174400000000002</v>
          </cell>
          <cell r="H9">
            <v>200000</v>
          </cell>
        </row>
        <row r="10">
          <cell r="C10">
            <v>6.8849999999999998</v>
          </cell>
          <cell r="D10">
            <v>6.7232585307560004</v>
          </cell>
          <cell r="E10">
            <v>12.800000000000011</v>
          </cell>
          <cell r="F10">
            <v>8.81616</v>
          </cell>
          <cell r="G10">
            <v>0.21883200000000003</v>
          </cell>
          <cell r="H10">
            <v>610</v>
          </cell>
        </row>
        <row r="11">
          <cell r="C11">
            <v>1.2100000000000009</v>
          </cell>
          <cell r="D11">
            <v>4.3742914202960002</v>
          </cell>
          <cell r="E11">
            <v>2.8000000000000114</v>
          </cell>
          <cell r="F11">
            <v>8.2670399999999979</v>
          </cell>
          <cell r="G11">
            <v>5.0592000000000005E-2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875</v>
          </cell>
        </row>
        <row r="13">
          <cell r="G13">
            <v>939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44320</v>
          </cell>
        </row>
        <row r="26">
          <cell r="D26">
            <v>18.850000000000001</v>
          </cell>
          <cell r="E26">
            <v>7.4249999999999998</v>
          </cell>
        </row>
        <row r="27">
          <cell r="E27">
            <v>6.7750000000000004</v>
          </cell>
        </row>
        <row r="28">
          <cell r="D28">
            <v>18.8</v>
          </cell>
          <cell r="E28">
            <v>6.665</v>
          </cell>
        </row>
      </sheetData>
      <sheetData sheetId="1">
        <row r="9">
          <cell r="C9">
            <v>147.29999999999998</v>
          </cell>
          <cell r="D9">
            <v>99.582726051067993</v>
          </cell>
          <cell r="E9">
            <v>160.00000000000037</v>
          </cell>
          <cell r="F9">
            <v>49.725600000000007</v>
          </cell>
          <cell r="G9">
            <v>4.90848</v>
          </cell>
          <cell r="H9">
            <v>190000</v>
          </cell>
        </row>
        <row r="10">
          <cell r="C10">
            <v>7.83</v>
          </cell>
          <cell r="D10">
            <v>16.422887935089999</v>
          </cell>
          <cell r="E10">
            <v>11.199999999999989</v>
          </cell>
          <cell r="F10">
            <v>8.0040000000000013</v>
          </cell>
          <cell r="G10">
            <v>0.40435199999999993</v>
          </cell>
          <cell r="H10">
            <v>610</v>
          </cell>
        </row>
        <row r="11">
          <cell r="C11">
            <v>0.86999999999999922</v>
          </cell>
          <cell r="D11">
            <v>5.6697589977599998</v>
          </cell>
          <cell r="E11">
            <v>2.8000000000000114</v>
          </cell>
          <cell r="F11">
            <v>7.2182399999999989</v>
          </cell>
          <cell r="G11">
            <v>3.5279999999999999E-2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510</v>
          </cell>
        </row>
        <row r="13">
          <cell r="G13">
            <v>567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44321</v>
          </cell>
        </row>
        <row r="26">
          <cell r="D26">
            <v>18.95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18.899999999999999</v>
          </cell>
          <cell r="E28">
            <v>6.6550000000000002</v>
          </cell>
        </row>
      </sheetData>
      <sheetData sheetId="1">
        <row r="9">
          <cell r="C9">
            <v>153.00000000000003</v>
          </cell>
          <cell r="D9">
            <v>101.733536405864</v>
          </cell>
          <cell r="E9">
            <v>159.99999999999991</v>
          </cell>
          <cell r="F9">
            <v>54.647999999999996</v>
          </cell>
          <cell r="G9">
            <v>5.2065600000000005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1.2599999999999998</v>
          </cell>
          <cell r="D11">
            <v>5.3578060391360003</v>
          </cell>
          <cell r="E11">
            <v>2.2000000000000175</v>
          </cell>
          <cell r="F11">
            <v>6.0430000000000001</v>
          </cell>
          <cell r="G11">
            <v>4.8000000000000001E-2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view="pageBreakPreview" zoomScaleSheetLayoutView="100" workbookViewId="0">
      <pane xSplit="1" ySplit="3" topLeftCell="B10" activePane="bottomRight" state="frozen"/>
      <selection activeCell="L23" sqref="L23"/>
      <selection pane="topRight" activeCell="L23" sqref="L23"/>
      <selection pane="bottomLeft" activeCell="L23" sqref="L23"/>
      <selection pane="bottomRight" activeCell="R8" sqref="R8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03" t="s">
        <v>24</v>
      </c>
      <c r="B1" s="103"/>
      <c r="C1" s="103"/>
      <c r="D1" s="103"/>
      <c r="E1" s="103"/>
      <c r="F1" s="103"/>
      <c r="G1" s="103"/>
      <c r="H1" s="103"/>
      <c r="I1" s="103"/>
    </row>
    <row r="2" spans="1:13" ht="20.100000000000001" customHeight="1">
      <c r="A2" s="104" t="s">
        <v>14</v>
      </c>
      <c r="B2" s="106" t="s">
        <v>12</v>
      </c>
      <c r="C2" s="107"/>
      <c r="D2" s="107"/>
      <c r="E2" s="107"/>
      <c r="F2" s="107"/>
      <c r="G2" s="107"/>
      <c r="H2" s="107"/>
      <c r="I2" s="108"/>
    </row>
    <row r="3" spans="1:13" ht="24.95" customHeight="1" thickBot="1">
      <c r="A3" s="105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44317</v>
      </c>
      <c r="B4" s="91">
        <f>[1]일반사항!$E$26</f>
        <v>7.4050000000000002</v>
      </c>
      <c r="C4" s="92">
        <f>[1]실험기록부!$C$9</f>
        <v>147.60000000000002</v>
      </c>
      <c r="D4" s="93">
        <f>[1]실험기록부!$D$9</f>
        <v>74.948442250488</v>
      </c>
      <c r="E4" s="22">
        <f>[1]실험기록부!$E$9</f>
        <v>173.33333333333343</v>
      </c>
      <c r="F4" s="23">
        <f>[1]실험기록부!$F$9</f>
        <v>49.953600000000002</v>
      </c>
      <c r="G4" s="23">
        <f>[1]실험기록부!$G$9</f>
        <v>5.7638400000000001</v>
      </c>
      <c r="H4" s="24">
        <f>[1]실험기록부!$H$9</f>
        <v>190000</v>
      </c>
      <c r="I4" s="26">
        <f>[2]커버3!$G$12</f>
        <v>512</v>
      </c>
      <c r="J4" s="99">
        <f>[1]일반사항!$D$26</f>
        <v>18.95</v>
      </c>
    </row>
    <row r="5" spans="1:13" ht="20.100000000000001" customHeight="1">
      <c r="A5" s="25">
        <f>[3]일반사항!$B$4</f>
        <v>44318</v>
      </c>
      <c r="B5" s="16">
        <f>[3]일반사항!$E$26</f>
        <v>7.5250000000000004</v>
      </c>
      <c r="C5" s="45">
        <f>[3]실험기록부!$C$9</f>
        <v>123.00000000000001</v>
      </c>
      <c r="D5" s="17">
        <f>[3]실험기록부!$D$9</f>
        <v>73.166574878852003</v>
      </c>
      <c r="E5" s="18">
        <f>[3]실험기록부!$E$9</f>
        <v>170.00000000000028</v>
      </c>
      <c r="F5" s="19">
        <f>[3]실험기록부!$F$9</f>
        <v>52.484399999999994</v>
      </c>
      <c r="G5" s="19">
        <f>[3]실험기록부!$G$9</f>
        <v>5.1760799999999998</v>
      </c>
      <c r="H5" s="20">
        <f>[3]실험기록부!$H$9</f>
        <v>200000</v>
      </c>
      <c r="I5" s="27">
        <f>[4]커버3!$G$12</f>
        <v>578</v>
      </c>
      <c r="J5" s="99">
        <f>[3]일반사항!$D$26</f>
        <v>18.8</v>
      </c>
    </row>
    <row r="6" spans="1:13" ht="20.100000000000001" customHeight="1">
      <c r="A6" s="25">
        <f>[5]일반사항!$B$4</f>
        <v>44319</v>
      </c>
      <c r="B6" s="16">
        <f>[5]일반사항!$E$26</f>
        <v>7.5049999999999999</v>
      </c>
      <c r="C6" s="45">
        <f>[5]실험기록부!$C$9</f>
        <v>147.60000000000002</v>
      </c>
      <c r="D6" s="17">
        <f>[5]실험기록부!$D$9</f>
        <v>84.159773978900006</v>
      </c>
      <c r="E6" s="18">
        <f>[5]실험기록부!$E$9</f>
        <v>160.00000000000037</v>
      </c>
      <c r="F6" s="19">
        <f>[5]실험기록부!$F$9</f>
        <v>52.072800000000001</v>
      </c>
      <c r="G6" s="19">
        <f>[5]실험기록부!$G$9</f>
        <v>4.07904</v>
      </c>
      <c r="H6" s="20">
        <f>[5]실험기록부!$H$9</f>
        <v>200000</v>
      </c>
      <c r="I6" s="27">
        <f>[6]커버3!$G$12</f>
        <v>541</v>
      </c>
      <c r="J6" s="99">
        <f>[5]일반사항!$D$26</f>
        <v>18.899999999999999</v>
      </c>
    </row>
    <row r="7" spans="1:13" ht="20.100000000000001" customHeight="1">
      <c r="A7" s="25">
        <f>[7]일반사항!$B$4</f>
        <v>44320</v>
      </c>
      <c r="B7" s="16">
        <f>[7]일반사항!$E$26</f>
        <v>7.4249999999999998</v>
      </c>
      <c r="C7" s="45">
        <f>[7]실험기록부!$C$9</f>
        <v>147.29999999999998</v>
      </c>
      <c r="D7" s="17">
        <f>[7]실험기록부!$D$9</f>
        <v>99.582726051067993</v>
      </c>
      <c r="E7" s="18">
        <f>[7]실험기록부!$E$9</f>
        <v>160.00000000000037</v>
      </c>
      <c r="F7" s="19">
        <f>[7]실험기록부!$F$9</f>
        <v>49.725600000000007</v>
      </c>
      <c r="G7" s="19">
        <f>[7]실험기록부!$G$9</f>
        <v>4.90848</v>
      </c>
      <c r="H7" s="20">
        <f>[7]실험기록부!$H$9</f>
        <v>190000</v>
      </c>
      <c r="I7" s="27">
        <f>[8]커버3!$G$12</f>
        <v>510</v>
      </c>
      <c r="J7" s="99">
        <f>[7]일반사항!$D$26</f>
        <v>18.850000000000001</v>
      </c>
    </row>
    <row r="8" spans="1:13" ht="20.100000000000001" customHeight="1">
      <c r="A8" s="25">
        <f>[9]일반사항!$B$4</f>
        <v>44321</v>
      </c>
      <c r="B8" s="16">
        <f>[9]일반사항!$E$26</f>
        <v>7.4749999999999996</v>
      </c>
      <c r="C8" s="45">
        <f>[9]실험기록부!$C$9</f>
        <v>153.00000000000003</v>
      </c>
      <c r="D8" s="17">
        <f>[9]실험기록부!$D$9</f>
        <v>101.733536405864</v>
      </c>
      <c r="E8" s="18">
        <f>[9]실험기록부!$E$9</f>
        <v>159.99999999999991</v>
      </c>
      <c r="F8" s="19">
        <f>[9]실험기록부!$F$9</f>
        <v>54.647999999999996</v>
      </c>
      <c r="G8" s="19">
        <f>[9]실험기록부!$G$9</f>
        <v>5.2065600000000005</v>
      </c>
      <c r="H8" s="20">
        <f>[9]실험기록부!$H$9</f>
        <v>190000</v>
      </c>
      <c r="I8" s="27">
        <f>[10]커버3!$G$12</f>
        <v>566</v>
      </c>
      <c r="J8" s="99">
        <f>[9]일반사항!$D$26</f>
        <v>18.95</v>
      </c>
    </row>
    <row r="9" spans="1:13" ht="20.100000000000001" customHeight="1">
      <c r="A9" s="25">
        <f>[11]일반사항!$B$4</f>
        <v>44322</v>
      </c>
      <c r="B9" s="16">
        <f>[11]일반사항!$E$26</f>
        <v>7.2949999999999999</v>
      </c>
      <c r="C9" s="45">
        <f>[11]실험기록부!$C$9</f>
        <v>146.99999999999997</v>
      </c>
      <c r="D9" s="17">
        <f>[11]실험기록부!$D$9</f>
        <v>95.241238211503997</v>
      </c>
      <c r="E9" s="18">
        <f>[11]실험기록부!$E$9</f>
        <v>160.00000000000037</v>
      </c>
      <c r="F9" s="19">
        <f>[11]실험기록부!$F$9</f>
        <v>38.791199999999996</v>
      </c>
      <c r="G9" s="19">
        <f>[11]실험기록부!$G$9</f>
        <v>3.9432</v>
      </c>
      <c r="H9" s="20">
        <f>[11]실험기록부!$H$9</f>
        <v>200000</v>
      </c>
      <c r="I9" s="27">
        <f>[12]커버3!$G$12</f>
        <v>571</v>
      </c>
      <c r="J9" s="99">
        <f>[11]일반사항!$D$26</f>
        <v>18.850000000000001</v>
      </c>
      <c r="M9" t="s">
        <v>15</v>
      </c>
    </row>
    <row r="10" spans="1:13" ht="20.100000000000001" customHeight="1">
      <c r="A10" s="25">
        <f>[13]일반사항!$B$4</f>
        <v>44323</v>
      </c>
      <c r="B10" s="16">
        <f>[13]일반사항!$E$26</f>
        <v>7.5600000000000005</v>
      </c>
      <c r="C10" s="45">
        <f>[13]실험기록부!$C$9</f>
        <v>151.19999999999999</v>
      </c>
      <c r="D10" s="17">
        <f>[13]실험기록부!$D$9</f>
        <v>13.041341035304001</v>
      </c>
      <c r="E10" s="18">
        <f>[13]실험기록부!$E$9</f>
        <v>173.33333333333343</v>
      </c>
      <c r="F10" s="19">
        <f>[13]실험기록부!$F$9</f>
        <v>39.470399999999998</v>
      </c>
      <c r="G10" s="19">
        <f>[13]실험기록부!$G$9</f>
        <v>3.8793600000000006</v>
      </c>
      <c r="H10" s="20">
        <f>[13]실험기록부!$H$9</f>
        <v>190000</v>
      </c>
      <c r="I10" s="27">
        <f>[14]커버3!$G$12</f>
        <v>561</v>
      </c>
      <c r="J10" s="99">
        <f>[13]일반사항!$D$26</f>
        <v>18.850000000000001</v>
      </c>
      <c r="M10" t="s">
        <v>16</v>
      </c>
    </row>
    <row r="11" spans="1:13" ht="20.100000000000001" customHeight="1">
      <c r="A11" s="25">
        <f>[15]일반사항!$B$4</f>
        <v>44324</v>
      </c>
      <c r="B11" s="16">
        <f>[15]일반사항!$E$26</f>
        <v>7.5049999999999999</v>
      </c>
      <c r="C11" s="45">
        <f>[15]실험기록부!$C$9</f>
        <v>150.89999999999998</v>
      </c>
      <c r="D11" s="17">
        <f>[15]실험기록부!$D$9</f>
        <v>86.518299594208003</v>
      </c>
      <c r="E11" s="18">
        <f>[15]실험기록부!$E$9</f>
        <v>176.66666666666657</v>
      </c>
      <c r="F11" s="19">
        <f>[15]실험기록부!$F$9</f>
        <v>54.647999999999996</v>
      </c>
      <c r="G11" s="19">
        <f>[15]실험기록부!$G$9</f>
        <v>5.2065600000000005</v>
      </c>
      <c r="H11" s="20">
        <f>[15]실험기록부!$H$9</f>
        <v>200000</v>
      </c>
      <c r="I11" s="27">
        <f>[16]커버3!$G$12</f>
        <v>551</v>
      </c>
      <c r="J11" s="99">
        <f>[15]일반사항!$D$26</f>
        <v>19.05</v>
      </c>
      <c r="M11" t="s">
        <v>17</v>
      </c>
    </row>
    <row r="12" spans="1:13" ht="20.100000000000001" customHeight="1">
      <c r="A12" s="25">
        <f>[17]일반사항!$B$4</f>
        <v>44325</v>
      </c>
      <c r="B12" s="16">
        <f>[17]일반사항!$E$26</f>
        <v>7.4749999999999996</v>
      </c>
      <c r="C12" s="45">
        <f>[17]실험기록부!$C$9</f>
        <v>153.6</v>
      </c>
      <c r="D12" s="17">
        <f>[17]실험기록부!$D$9</f>
        <v>82.535472395743994</v>
      </c>
      <c r="E12" s="18">
        <f>[17]실험기록부!$E$9</f>
        <v>140.00000000000009</v>
      </c>
      <c r="F12" s="19">
        <f>[17]실험기록부!$F$9</f>
        <v>43.884</v>
      </c>
      <c r="G12" s="19">
        <f>[17]실험기록부!$G$9</f>
        <v>4.3267199999999999</v>
      </c>
      <c r="H12" s="20">
        <f>[17]실험기록부!$H$9</f>
        <v>200000</v>
      </c>
      <c r="I12" s="27">
        <f>[18]커버3!$G$12</f>
        <v>552</v>
      </c>
      <c r="J12" s="99">
        <f>[17]일반사항!$D$26</f>
        <v>18.95</v>
      </c>
      <c r="M12" t="s">
        <v>18</v>
      </c>
    </row>
    <row r="13" spans="1:13" ht="20.100000000000001" customHeight="1">
      <c r="A13" s="25">
        <f>[19]일반사항!$B$4</f>
        <v>44326</v>
      </c>
      <c r="B13" s="16">
        <f>[19]일반사항!$E$26</f>
        <v>7.5049999999999999</v>
      </c>
      <c r="C13" s="45">
        <f>[19]실험기록부!$C$9</f>
        <v>152.70000000000002</v>
      </c>
      <c r="D13" s="17">
        <f>[19]실험기록부!$D$9</f>
        <v>89.077864412951996</v>
      </c>
      <c r="E13" s="18">
        <f>[19]실험기록부!$E$9</f>
        <v>163.33333333333351</v>
      </c>
      <c r="F13" s="19">
        <f>[19]실험기록부!$F$9</f>
        <v>59.678399999999996</v>
      </c>
      <c r="G13" s="19">
        <f>[19]실험기록부!$G$9</f>
        <v>5.2180800000000005</v>
      </c>
      <c r="H13" s="20">
        <f>[19]실험기록부!$H$9</f>
        <v>200000</v>
      </c>
      <c r="I13" s="27">
        <f>[20]커버3!$G$12</f>
        <v>629</v>
      </c>
      <c r="J13" s="99">
        <f>[19]일반사항!$D$26</f>
        <v>19.05</v>
      </c>
      <c r="M13" t="s">
        <v>19</v>
      </c>
    </row>
    <row r="14" spans="1:13" ht="20.100000000000001" customHeight="1">
      <c r="A14" s="25">
        <f>[21]일반사항!$B$4</f>
        <v>44327</v>
      </c>
      <c r="B14" s="16">
        <f>[21]일반사항!$E$26</f>
        <v>7.4050000000000002</v>
      </c>
      <c r="C14" s="45">
        <f>[21]실험기록부!$C$9</f>
        <v>150</v>
      </c>
      <c r="D14" s="17">
        <f>[21]실험기록부!$D$9</f>
        <v>60.706222483235997</v>
      </c>
      <c r="E14" s="18">
        <f>[21]실험기록부!$E$9</f>
        <v>143.33333333333368</v>
      </c>
      <c r="F14" s="19">
        <f>[21]실험기록부!$F$9</f>
        <v>45.544799999999995</v>
      </c>
      <c r="G14" s="19">
        <f>[21]실험기록부!$G$9</f>
        <v>3.9177600000000004</v>
      </c>
      <c r="H14" s="20">
        <f>[21]실험기록부!$H$9</f>
        <v>190000</v>
      </c>
      <c r="I14" s="27">
        <f>[22]커버3!$G$12</f>
        <v>661</v>
      </c>
      <c r="J14" s="99">
        <f>[21]일반사항!$D$26</f>
        <v>18.850000000000001</v>
      </c>
      <c r="M14" t="s">
        <v>20</v>
      </c>
    </row>
    <row r="15" spans="1:13" ht="20.100000000000001" customHeight="1">
      <c r="A15" s="25">
        <f>[23]일반사항!$B$4</f>
        <v>44328</v>
      </c>
      <c r="B15" s="16">
        <f>[23]일반사항!$E$26</f>
        <v>7.3249999999999993</v>
      </c>
      <c r="C15" s="45">
        <f>[23]실험기록부!$C$9</f>
        <v>145.80000000000004</v>
      </c>
      <c r="D15" s="17">
        <f>[23]실험기록부!$D$9</f>
        <v>63.860220020295998</v>
      </c>
      <c r="E15" s="18">
        <f>[23]실험기록부!$E$9</f>
        <v>150</v>
      </c>
      <c r="F15" s="19">
        <f>[23]실험기록부!$F$9</f>
        <v>40.919999999999995</v>
      </c>
      <c r="G15" s="19">
        <f>[23]실험기록부!$G$9</f>
        <v>4.1471999999999998</v>
      </c>
      <c r="H15" s="20">
        <f>[23]실험기록부!$H$9</f>
        <v>200000</v>
      </c>
      <c r="I15" s="27">
        <f>[24]커버3!$G$12</f>
        <v>616</v>
      </c>
      <c r="J15" s="99">
        <f>[23]일반사항!$D$26</f>
        <v>18.95</v>
      </c>
    </row>
    <row r="16" spans="1:13" ht="20.100000000000001" customHeight="1">
      <c r="A16" s="25">
        <f>[25]일반사항!$B$4</f>
        <v>44329</v>
      </c>
      <c r="B16" s="16">
        <f>[25]일반사항!$E$26</f>
        <v>7.42</v>
      </c>
      <c r="C16" s="45">
        <f>[25]실험기록부!$C$9</f>
        <v>146.99999999999997</v>
      </c>
      <c r="D16" s="17">
        <f>[25]실험기록부!$D$9</f>
        <v>85.765494758784001</v>
      </c>
      <c r="E16" s="18">
        <f>[25]실험기록부!$E$9</f>
        <v>160.00000000000037</v>
      </c>
      <c r="F16" s="19">
        <f>[25]실험기록부!$F$9</f>
        <v>47.704799999999999</v>
      </c>
      <c r="G16" s="19">
        <f>[25]실험기록부!$G$9</f>
        <v>4.6195200000000005</v>
      </c>
      <c r="H16" s="20">
        <f>[25]실험기록부!$H$9</f>
        <v>190000</v>
      </c>
      <c r="I16" s="27">
        <f>[26]커버3!$G$12</f>
        <v>624</v>
      </c>
      <c r="J16" s="99">
        <f>[25]일반사항!$D$26</f>
        <v>18.850000000000001</v>
      </c>
    </row>
    <row r="17" spans="1:10" ht="20.100000000000001" customHeight="1">
      <c r="A17" s="25">
        <f>[27]일반사항!$B$4</f>
        <v>44330</v>
      </c>
      <c r="B17" s="16">
        <f>[27]일반사항!$E$26</f>
        <v>7.4050000000000002</v>
      </c>
      <c r="C17" s="45">
        <f>[27]실험기록부!$C$9</f>
        <v>146.1</v>
      </c>
      <c r="D17" s="17">
        <f>[27]실험기록부!$D$9</f>
        <v>64.793829950855994</v>
      </c>
      <c r="E17" s="18">
        <f>[27]실험기록부!$E$9</f>
        <v>150</v>
      </c>
      <c r="F17" s="19">
        <f>[27]실험기록부!$F$9</f>
        <v>36.129599999999996</v>
      </c>
      <c r="G17" s="19">
        <f>[27]실험기록부!$G$9</f>
        <v>4.0103999999999997</v>
      </c>
      <c r="H17" s="20">
        <f>[27]실험기록부!$H$9</f>
        <v>200000</v>
      </c>
      <c r="I17" s="27">
        <f>[28]커버3!$G$12</f>
        <v>586</v>
      </c>
      <c r="J17" s="99">
        <f>[27]일반사항!$D$26</f>
        <v>19.25</v>
      </c>
    </row>
    <row r="18" spans="1:10" ht="20.100000000000001" customHeight="1">
      <c r="A18" s="25">
        <f>[29]일반사항!$B$4</f>
        <v>44331</v>
      </c>
      <c r="B18" s="16">
        <f>[29]일반사항!$E$26</f>
        <v>7.4050000000000002</v>
      </c>
      <c r="C18" s="45">
        <f>[29]실험기록부!$C$9</f>
        <v>161.39999999999998</v>
      </c>
      <c r="D18" s="17">
        <f>[29]실험기록부!$D$9</f>
        <v>59.212075754224003</v>
      </c>
      <c r="E18" s="18">
        <f>[29]실험기록부!$E$9</f>
        <v>143.33333333333368</v>
      </c>
      <c r="F18" s="19">
        <f>[29]실험기록부!$F$9</f>
        <v>47.717999999999996</v>
      </c>
      <c r="G18" s="19">
        <f>[29]실험기록부!$G$9</f>
        <v>5.2416000000000009</v>
      </c>
      <c r="H18" s="20">
        <f>[29]실험기록부!$H$9</f>
        <v>200000</v>
      </c>
      <c r="I18" s="27">
        <f>[30]커버3!$G$12</f>
        <v>556</v>
      </c>
      <c r="J18" s="99">
        <f>[29]일반사항!$D$26</f>
        <v>18.850000000000001</v>
      </c>
    </row>
    <row r="19" spans="1:10" ht="20.100000000000001" customHeight="1">
      <c r="A19" s="25">
        <f>[31]일반사항!$B$4</f>
        <v>44332</v>
      </c>
      <c r="B19" s="16">
        <f>[31]일반사항!$E$26</f>
        <v>7.2949999999999999</v>
      </c>
      <c r="C19" s="45">
        <f>[31]실험기록부!$C$9</f>
        <v>139.5</v>
      </c>
      <c r="D19" s="17">
        <f>[31]실험기록부!$D$9</f>
        <v>57.589561995419999</v>
      </c>
      <c r="E19" s="18">
        <f>[31]실험기록부!$E$9</f>
        <v>166.66666666666666</v>
      </c>
      <c r="F19" s="19">
        <f>[31]실험기록부!$F$9</f>
        <v>38.419200000000011</v>
      </c>
      <c r="G19" s="19">
        <f>[31]실험기록부!$G$9</f>
        <v>3.1956000000000007</v>
      </c>
      <c r="H19" s="20">
        <f>[31]실험기록부!$H$9</f>
        <v>190000</v>
      </c>
      <c r="I19" s="27">
        <f>[32]커버3!$G$12</f>
        <v>924</v>
      </c>
      <c r="J19" s="99">
        <f>[31]일반사항!$D$26</f>
        <v>18.75</v>
      </c>
    </row>
    <row r="20" spans="1:10" ht="20.100000000000001" customHeight="1">
      <c r="A20" s="25">
        <f>[33]일반사항!$B$4</f>
        <v>44333</v>
      </c>
      <c r="B20" s="16">
        <f>[33]일반사항!$E$26</f>
        <v>7.4050000000000002</v>
      </c>
      <c r="C20" s="45">
        <f>[33]실험기록부!$C$9</f>
        <v>153.00000000000006</v>
      </c>
      <c r="D20" s="17">
        <f>[33]실험기록부!$D$9</f>
        <v>70.450833781135998</v>
      </c>
      <c r="E20" s="18">
        <f>[33]실험기록부!$E$9</f>
        <v>150</v>
      </c>
      <c r="F20" s="19">
        <f>[33]실험기록부!$F$9</f>
        <v>34.305599999999998</v>
      </c>
      <c r="G20" s="19">
        <f>[33]실험기록부!$G$9</f>
        <v>2.9424000000000001</v>
      </c>
      <c r="H20" s="20">
        <f>[33]실험기록부!$H$9</f>
        <v>190000</v>
      </c>
      <c r="I20" s="27">
        <f>[34]커버3!$G$12</f>
        <v>984</v>
      </c>
      <c r="J20" s="99">
        <f>[33]일반사항!$D$26</f>
        <v>19.05</v>
      </c>
    </row>
    <row r="21" spans="1:10" ht="20.100000000000001" customHeight="1">
      <c r="A21" s="25">
        <f>[35]일반사항!$B$4</f>
        <v>44334</v>
      </c>
      <c r="B21" s="16">
        <f>[35]일반사항!$E$26</f>
        <v>7.42</v>
      </c>
      <c r="C21" s="45">
        <f>[35]실험기록부!$C$9</f>
        <v>158.1</v>
      </c>
      <c r="D21" s="17">
        <f>[35]실험기록부!$D$9</f>
        <v>68.418624741431998</v>
      </c>
      <c r="E21" s="18">
        <f>[35]실험기록부!$E$9</f>
        <v>160.00000000000037</v>
      </c>
      <c r="F21" s="19">
        <f>[35]실험기록부!$F$9</f>
        <v>54.3384</v>
      </c>
      <c r="G21" s="19">
        <f>[35]실험기록부!$G$9</f>
        <v>3.4420799999999998</v>
      </c>
      <c r="H21" s="20">
        <f>[35]실험기록부!$H$9</f>
        <v>200000</v>
      </c>
      <c r="I21" s="27">
        <f>[36]커버3!$G$12</f>
        <v>763</v>
      </c>
      <c r="J21" s="99">
        <f>[35]일반사항!$D$26</f>
        <v>19.850000000000001</v>
      </c>
    </row>
    <row r="22" spans="1:10" ht="20.100000000000001" customHeight="1">
      <c r="A22" s="25">
        <f>[37]일반사항!$B$4</f>
        <v>44335</v>
      </c>
      <c r="B22" s="16">
        <f>[37]일반사항!$E$26</f>
        <v>7.5049999999999999</v>
      </c>
      <c r="C22" s="45">
        <f>[37]실험기록부!$C$9</f>
        <v>166.49999999999997</v>
      </c>
      <c r="D22" s="17">
        <f>[37]실험기록부!$D$9</f>
        <v>71.802511630992001</v>
      </c>
      <c r="E22" s="18">
        <f>[37]실험기록부!$E$9</f>
        <v>153.3333333333336</v>
      </c>
      <c r="F22" s="19">
        <f>[37]실험기록부!$F$9</f>
        <v>37.972799999999999</v>
      </c>
      <c r="G22" s="19">
        <f>[37]실험기록부!$G$9</f>
        <v>4.2477599999999995</v>
      </c>
      <c r="H22" s="20">
        <f>[37]실험기록부!$H$9</f>
        <v>190000</v>
      </c>
      <c r="I22" s="27">
        <f>[38]커버3!$G$12</f>
        <v>705</v>
      </c>
      <c r="J22" s="99">
        <f>[37]일반사항!$D$26</f>
        <v>19.8</v>
      </c>
    </row>
    <row r="23" spans="1:10" ht="20.100000000000001" customHeight="1">
      <c r="A23" s="25">
        <f>[39]일반사항!$B$4</f>
        <v>44336</v>
      </c>
      <c r="B23" s="16">
        <f>[39]일반사항!$E$26</f>
        <v>7.4050000000000002</v>
      </c>
      <c r="C23" s="45">
        <f>[39]실험기록부!$C$9</f>
        <v>150.29999999999998</v>
      </c>
      <c r="D23" s="17">
        <f>[39]실험기록부!$D$9</f>
        <v>50.580580485779997</v>
      </c>
      <c r="E23" s="18">
        <f>[39]실험기록부!$E$9</f>
        <v>153.33333333333314</v>
      </c>
      <c r="F23" s="19">
        <f>[39]실험기록부!$F$9</f>
        <v>51.148800000000001</v>
      </c>
      <c r="G23" s="19">
        <f>[39]실험기록부!$G$9</f>
        <v>5.5531199999999998</v>
      </c>
      <c r="H23" s="20">
        <f>[39]실험기록부!$H$9</f>
        <v>200000</v>
      </c>
      <c r="I23" s="27">
        <f>[40]커버3!$G$12</f>
        <v>759</v>
      </c>
      <c r="J23" s="99">
        <f>[39]일반사항!$D$26</f>
        <v>19.850000000000001</v>
      </c>
    </row>
    <row r="24" spans="1:10" ht="20.100000000000001" customHeight="1">
      <c r="A24" s="25">
        <f>[41]일반사항!$B$4</f>
        <v>44337</v>
      </c>
      <c r="B24" s="16">
        <f>[41]일반사항!$E$26</f>
        <v>7.4550000000000001</v>
      </c>
      <c r="C24" s="45">
        <f>[41]실험기록부!$C$9</f>
        <v>151.20000000000002</v>
      </c>
      <c r="D24" s="17">
        <f>[41]실험기록부!$D$9</f>
        <v>45.308103658264002</v>
      </c>
      <c r="E24" s="18">
        <f>[41]실험기록부!$E$9</f>
        <v>156.66666666666677</v>
      </c>
      <c r="F24" s="19">
        <f>[41]실험기록부!$F$9</f>
        <v>46.994399999999999</v>
      </c>
      <c r="G24" s="19">
        <f>[41]실험기록부!$G$9</f>
        <v>4.1524800000000006</v>
      </c>
      <c r="H24" s="20">
        <f>[41]실험기록부!$H$9</f>
        <v>180000</v>
      </c>
      <c r="I24" s="27">
        <f>[42]커버3!$G$12</f>
        <v>772</v>
      </c>
      <c r="J24" s="99">
        <f>[41]일반사항!$D$26</f>
        <v>20.149999999999999</v>
      </c>
    </row>
    <row r="25" spans="1:10" ht="20.100000000000001" customHeight="1">
      <c r="A25" s="25">
        <f>[43]일반사항!$B$4</f>
        <v>44338</v>
      </c>
      <c r="B25" s="16">
        <f>[43]일반사항!$E$26</f>
        <v>7.4</v>
      </c>
      <c r="C25" s="45">
        <f>[43]실험기록부!$C$9</f>
        <v>153.00000000000006</v>
      </c>
      <c r="D25" s="17">
        <f>[43]실험기록부!$D$9</f>
        <v>89.273016337620007</v>
      </c>
      <c r="E25" s="18">
        <f>[43]실험기록부!$E$9</f>
        <v>143.33333333333368</v>
      </c>
      <c r="F25" s="19">
        <f>[43]실험기록부!$F$9</f>
        <v>53.263199999999998</v>
      </c>
      <c r="G25" s="19">
        <f>[43]실험기록부!$G$9</f>
        <v>5.2435200000000002</v>
      </c>
      <c r="H25" s="20">
        <f>[43]실험기록부!$H$9</f>
        <v>200000</v>
      </c>
      <c r="I25" s="27">
        <f>[44]커버3!$G$12</f>
        <v>660</v>
      </c>
      <c r="J25" s="99">
        <f>[43]일반사항!$D$26</f>
        <v>19.850000000000001</v>
      </c>
    </row>
    <row r="26" spans="1:10" ht="20.100000000000001" customHeight="1">
      <c r="A26" s="25">
        <f>[45]일반사항!$B$4</f>
        <v>44339</v>
      </c>
      <c r="B26" s="16">
        <f>[45]일반사항!$E$26</f>
        <v>7.4249999999999998</v>
      </c>
      <c r="C26" s="45">
        <f>[45]실험기록부!$C$9</f>
        <v>144.9</v>
      </c>
      <c r="D26" s="17">
        <f>[45]실험기록부!$D$9</f>
        <v>87.348844687571997</v>
      </c>
      <c r="E26" s="18">
        <f>[45]실험기록부!$E$9</f>
        <v>159.99999999999991</v>
      </c>
      <c r="F26" s="19">
        <f>[45]실험기록부!$F$9</f>
        <v>57.388799999999996</v>
      </c>
      <c r="G26" s="19">
        <f>[45]실험기록부!$G$9</f>
        <v>5.6947200000000002</v>
      </c>
      <c r="H26" s="20">
        <f>[45]실험기록부!$H$9</f>
        <v>190000</v>
      </c>
      <c r="I26" s="27">
        <f>[46]커버3!$G$12</f>
        <v>693</v>
      </c>
      <c r="J26" s="99">
        <f>[45]일반사항!$D$26</f>
        <v>19.95</v>
      </c>
    </row>
    <row r="27" spans="1:10" ht="20.100000000000001" customHeight="1">
      <c r="A27" s="25">
        <f>[47]일반사항!$B$4</f>
        <v>44340</v>
      </c>
      <c r="B27" s="16">
        <f>[47]일반사항!$E$26</f>
        <v>7.3949999999999996</v>
      </c>
      <c r="C27" s="45">
        <f>[47]실험기록부!$C$9</f>
        <v>153.00000000000006</v>
      </c>
      <c r="D27" s="17">
        <f>[47]실험기록부!$D$9</f>
        <v>80.272769070156002</v>
      </c>
      <c r="E27" s="18">
        <f>[47]실험기록부!$E$9</f>
        <v>150</v>
      </c>
      <c r="F27" s="19">
        <f>[47]실험기록부!$F$9</f>
        <v>45.636000000000003</v>
      </c>
      <c r="G27" s="19">
        <f>[47]실험기록부!$G$9</f>
        <v>4.16784</v>
      </c>
      <c r="H27" s="20">
        <f>[47]실험기록부!$H$9</f>
        <v>200000</v>
      </c>
      <c r="I27" s="27">
        <f>[48]커버3!$G$12</f>
        <v>651</v>
      </c>
      <c r="J27" s="99">
        <f>[47]일반사항!$D$26</f>
        <v>19.95</v>
      </c>
    </row>
    <row r="28" spans="1:10" ht="20.100000000000001" customHeight="1">
      <c r="A28" s="25">
        <f>[49]일반사항!$B$4</f>
        <v>44341</v>
      </c>
      <c r="B28" s="16">
        <f>[49]일반사항!$E$26</f>
        <v>7.4950000000000001</v>
      </c>
      <c r="C28" s="45">
        <f>[49]실험기록부!$C$9</f>
        <v>146.99999999999997</v>
      </c>
      <c r="D28" s="17">
        <f>[49]실험기록부!$D$9</f>
        <v>90.356476695235997</v>
      </c>
      <c r="E28" s="18">
        <f>[49]실험기록부!$E$9</f>
        <v>160.00000000000037</v>
      </c>
      <c r="F28" s="19">
        <f>[49]실험기록부!$F$9</f>
        <v>51.825600000000001</v>
      </c>
      <c r="G28" s="19">
        <f>[49]실험기록부!$G$9</f>
        <v>5.6275199999999996</v>
      </c>
      <c r="H28" s="20">
        <f>[49]실험기록부!$H$9</f>
        <v>200000</v>
      </c>
      <c r="I28" s="27">
        <f>[50]커버3!$G$12</f>
        <v>593</v>
      </c>
      <c r="J28" s="99">
        <f>[49]일반사항!$D$26</f>
        <v>19.95</v>
      </c>
    </row>
    <row r="29" spans="1:10" ht="20.100000000000001" customHeight="1">
      <c r="A29" s="25">
        <f>[51]일반사항!$B$4</f>
        <v>44342</v>
      </c>
      <c r="B29" s="16">
        <f>[51]일반사항!$E$26</f>
        <v>7.42</v>
      </c>
      <c r="C29" s="45">
        <f>[51]실험기록부!$C$9</f>
        <v>150.29999999999998</v>
      </c>
      <c r="D29" s="17">
        <f>[51]실험기록부!$D$9</f>
        <v>96.363347161860005</v>
      </c>
      <c r="E29" s="18">
        <f>[51]실험기록부!$E$9</f>
        <v>150</v>
      </c>
      <c r="F29" s="19">
        <f>[51]실험기록부!$F$9</f>
        <v>43.132799999999996</v>
      </c>
      <c r="G29" s="19">
        <f>[51]실험기록부!$G$9</f>
        <v>5.3644800000000004</v>
      </c>
      <c r="H29" s="20">
        <f>[51]실험기록부!$H$9</f>
        <v>200000</v>
      </c>
      <c r="I29" s="27">
        <f>[52]커버3!$G$12</f>
        <v>604</v>
      </c>
      <c r="J29" s="99">
        <f>[51]일반사항!$D$26</f>
        <v>20.149999999999999</v>
      </c>
    </row>
    <row r="30" spans="1:10" ht="20.100000000000001" customHeight="1">
      <c r="A30" s="25">
        <f>[53]일반사항!$B$4</f>
        <v>44343</v>
      </c>
      <c r="B30" s="16">
        <f>[53]일반사항!$E$26</f>
        <v>7.5049999999999999</v>
      </c>
      <c r="C30" s="45">
        <f>[53]실험기록부!$C$9</f>
        <v>153.60000000000002</v>
      </c>
      <c r="D30" s="17">
        <f>[53]실험기록부!$D$9</f>
        <v>89.756558178008007</v>
      </c>
      <c r="E30" s="18">
        <f>[53]실험기록부!$E$9</f>
        <v>176.66666666666703</v>
      </c>
      <c r="F30" s="19">
        <f>[53]실험기록부!$F$9</f>
        <v>55.8504</v>
      </c>
      <c r="G30" s="19">
        <f>[53]실험기록부!$G$9</f>
        <v>4.0147199999999987</v>
      </c>
      <c r="H30" s="20">
        <f>[53]실험기록부!$H$9</f>
        <v>200000</v>
      </c>
      <c r="I30" s="27">
        <f>[54]커버3!$G$12</f>
        <v>616</v>
      </c>
      <c r="J30" s="99">
        <f>[53]일반사항!$D$26</f>
        <v>20.149999999999999</v>
      </c>
    </row>
    <row r="31" spans="1:10" ht="20.100000000000001" customHeight="1">
      <c r="A31" s="25">
        <f>[55]일반사항!$B$4</f>
        <v>44344</v>
      </c>
      <c r="B31" s="16">
        <f>[55]일반사항!$E$26</f>
        <v>7.42</v>
      </c>
      <c r="C31" s="45">
        <f>[55]실험기록부!$C$9</f>
        <v>147.30000000000001</v>
      </c>
      <c r="D31" s="17">
        <f>[55]실험기록부!$D$9</f>
        <v>91.424523280583998</v>
      </c>
      <c r="E31" s="18">
        <f>[55]실험기록부!$E$9</f>
        <v>166.66666666666666</v>
      </c>
      <c r="F31" s="19">
        <f>[55]실험기록부!$F$9</f>
        <v>41.858400000000003</v>
      </c>
      <c r="G31" s="19">
        <f>[55]실험기록부!$G$9</f>
        <v>5.43072</v>
      </c>
      <c r="H31" s="20">
        <f>[55]실험기록부!$H$9</f>
        <v>200000</v>
      </c>
      <c r="I31" s="27">
        <f>[56]커버3!$G$12</f>
        <v>750</v>
      </c>
      <c r="J31" s="99">
        <f>[55]일반사항!$D$26</f>
        <v>20.149999999999999</v>
      </c>
    </row>
    <row r="32" spans="1:10" ht="20.100000000000001" customHeight="1">
      <c r="A32" s="25">
        <f>[57]일반사항!$B$4</f>
        <v>44345</v>
      </c>
      <c r="B32" s="16">
        <f>[57]일반사항!$E$26</f>
        <v>7.42</v>
      </c>
      <c r="C32" s="45">
        <f>[57]실험기록부!$C$9</f>
        <v>153.60000000000002</v>
      </c>
      <c r="D32" s="17">
        <f>[57]실험기록부!$D$9</f>
        <v>67.198487106520005</v>
      </c>
      <c r="E32" s="18">
        <f>[57]실험기록부!$E$9</f>
        <v>150</v>
      </c>
      <c r="F32" s="19">
        <f>[57]실험기록부!$F$9</f>
        <v>54.199199999999998</v>
      </c>
      <c r="G32" s="19">
        <f>[57]실험기록부!$G$9</f>
        <v>5.3227200000000003</v>
      </c>
      <c r="H32" s="20">
        <f>[57]실험기록부!$H$9</f>
        <v>200000</v>
      </c>
      <c r="I32" s="27">
        <f>[58]커버3!$G$12</f>
        <v>662</v>
      </c>
      <c r="J32" s="99">
        <f>[57]일반사항!$D$26</f>
        <v>20.149999999999999</v>
      </c>
    </row>
    <row r="33" spans="1:10" ht="20.100000000000001" customHeight="1">
      <c r="A33" s="25">
        <f>[59]일반사항!$B$4</f>
        <v>44346</v>
      </c>
      <c r="B33" s="16">
        <f>[59]일반사항!$E$26</f>
        <v>7.415</v>
      </c>
      <c r="C33" s="45">
        <f>[59]실험기록부!$C$9</f>
        <v>153.60000000000002</v>
      </c>
      <c r="D33" s="17">
        <f>[59]실험기록부!$D$9</f>
        <v>63.349439999768002</v>
      </c>
      <c r="E33" s="18">
        <f>[59]실험기록부!$E$9</f>
        <v>159.99999999999991</v>
      </c>
      <c r="F33" s="19">
        <f>[59]실험기록부!$F$9</f>
        <v>42.548400000000008</v>
      </c>
      <c r="G33" s="19">
        <f>[59]실험기록부!$G$9</f>
        <v>4.59504</v>
      </c>
      <c r="H33" s="20">
        <f>[59]실험기록부!$H$9</f>
        <v>180000</v>
      </c>
      <c r="I33" s="27">
        <f>[60]커버3!$G$12</f>
        <v>637</v>
      </c>
      <c r="J33" s="99">
        <f>[59]일반사항!$D$26</f>
        <v>20.25</v>
      </c>
    </row>
    <row r="34" spans="1:10" ht="20.100000000000001" customHeight="1" thickBot="1">
      <c r="A34" s="28">
        <f>[61]일반사항!$B$4</f>
        <v>44347</v>
      </c>
      <c r="B34" s="29">
        <f>[61]일반사항!$E$26</f>
        <v>7.43</v>
      </c>
      <c r="C34" s="46">
        <f>[61]실험기록부!$C$9</f>
        <v>150.00000000000003</v>
      </c>
      <c r="D34" s="30">
        <f>[61]실험기록부!$D$9</f>
        <v>72.465102673071996</v>
      </c>
      <c r="E34" s="31">
        <f>[61]실험기록부!$E$9</f>
        <v>160.00000000000037</v>
      </c>
      <c r="F34" s="32">
        <f>[61]실험기록부!$F$9</f>
        <v>31.240800000000004</v>
      </c>
      <c r="G34" s="32">
        <f>[61]실험기록부!$G$9</f>
        <v>2.6174400000000002</v>
      </c>
      <c r="H34" s="33">
        <f>[61]실험기록부!$H$9</f>
        <v>200000</v>
      </c>
      <c r="I34" s="34">
        <f>[62]커버3!$G$12</f>
        <v>875</v>
      </c>
      <c r="J34" s="99">
        <f>[61]일반사항!$D$26</f>
        <v>20.149999999999999</v>
      </c>
    </row>
    <row r="35" spans="1:10" ht="20.100000000000001" customHeight="1" thickTop="1">
      <c r="A35" s="15" t="s">
        <v>0</v>
      </c>
      <c r="B35" s="37">
        <f>MAX(B4:B34)</f>
        <v>7.5600000000000005</v>
      </c>
      <c r="C35" s="35">
        <f t="shared" ref="C35:I35" si="0">MAX(C4:C34)</f>
        <v>166.49999999999997</v>
      </c>
      <c r="D35" s="35">
        <f t="shared" si="0"/>
        <v>101.733536405864</v>
      </c>
      <c r="E35" s="35">
        <f t="shared" si="0"/>
        <v>176.66666666666703</v>
      </c>
      <c r="F35" s="40">
        <f t="shared" si="0"/>
        <v>59.678399999999996</v>
      </c>
      <c r="G35" s="40">
        <f t="shared" si="0"/>
        <v>5.7638400000000001</v>
      </c>
      <c r="H35" s="100">
        <f t="shared" si="0"/>
        <v>200000</v>
      </c>
      <c r="I35" s="87">
        <f t="shared" si="0"/>
        <v>984</v>
      </c>
    </row>
    <row r="36" spans="1:10" ht="20.100000000000001" customHeight="1">
      <c r="A36" s="1" t="s">
        <v>1</v>
      </c>
      <c r="B36" s="38">
        <f>MIN(B5:B34)</f>
        <v>7.2949999999999999</v>
      </c>
      <c r="C36" s="4">
        <f t="shared" ref="C36:I36" si="1">MIN(C5:C34)</f>
        <v>123.00000000000001</v>
      </c>
      <c r="D36" s="4">
        <f t="shared" si="1"/>
        <v>13.041341035304001</v>
      </c>
      <c r="E36" s="4">
        <f t="shared" si="1"/>
        <v>140.00000000000009</v>
      </c>
      <c r="F36" s="41">
        <f t="shared" si="1"/>
        <v>31.240800000000004</v>
      </c>
      <c r="G36" s="41">
        <f t="shared" si="1"/>
        <v>2.6174400000000002</v>
      </c>
      <c r="H36" s="101">
        <f t="shared" si="1"/>
        <v>180000</v>
      </c>
      <c r="I36" s="88">
        <f t="shared" si="1"/>
        <v>510</v>
      </c>
    </row>
    <row r="37" spans="1:10" ht="20.100000000000001" customHeight="1" thickBot="1">
      <c r="A37" s="2" t="s">
        <v>2</v>
      </c>
      <c r="B37" s="39">
        <f>AVERAGE(B4:B34)</f>
        <v>7.4337096774193547</v>
      </c>
      <c r="C37" s="36">
        <f t="shared" ref="C37:I37" si="2">AVERAGE(C4:C34)</f>
        <v>149.97096774193548</v>
      </c>
      <c r="D37" s="36">
        <f t="shared" si="2"/>
        <v>75.041996569861297</v>
      </c>
      <c r="E37" s="36">
        <f t="shared" si="2"/>
        <v>158.0645161290324</v>
      </c>
      <c r="F37" s="42">
        <f t="shared" si="2"/>
        <v>46.886980645161287</v>
      </c>
      <c r="G37" s="42">
        <f t="shared" si="2"/>
        <v>4.556663225806453</v>
      </c>
      <c r="H37" s="102">
        <f t="shared" si="2"/>
        <v>195483.87096774194</v>
      </c>
      <c r="I37" s="89">
        <f t="shared" si="2"/>
        <v>653.61290322580646</v>
      </c>
      <c r="J37" s="61">
        <f>I37*30</f>
        <v>19608.387096774193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view="pageBreakPreview" zoomScaleSheetLayoutView="100" workbookViewId="0">
      <pane xSplit="1" ySplit="3" topLeftCell="B16" activePane="bottomRight" state="frozen"/>
      <selection activeCell="D50" sqref="D50"/>
      <selection pane="topRight" activeCell="D50" sqref="D50"/>
      <selection pane="bottomLeft" activeCell="D50" sqref="D50"/>
      <selection pane="bottomRight" activeCell="L13" sqref="L13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09" t="s">
        <v>25</v>
      </c>
      <c r="B1" s="109"/>
      <c r="C1" s="109"/>
      <c r="D1" s="109"/>
      <c r="E1" s="109"/>
      <c r="F1" s="109"/>
      <c r="G1" s="109"/>
      <c r="H1" s="109"/>
      <c r="I1" s="109"/>
    </row>
    <row r="2" spans="1:18" ht="20.100000000000001" customHeight="1">
      <c r="A2" s="104" t="s">
        <v>14</v>
      </c>
      <c r="B2" s="106" t="s">
        <v>13</v>
      </c>
      <c r="C2" s="107"/>
      <c r="D2" s="107"/>
      <c r="E2" s="107"/>
      <c r="F2" s="107"/>
      <c r="G2" s="107"/>
      <c r="H2" s="107"/>
      <c r="I2" s="108"/>
    </row>
    <row r="3" spans="1:18" ht="24.95" customHeight="1" thickBot="1">
      <c r="A3" s="105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44317</v>
      </c>
      <c r="B4" s="57">
        <f>[1]일반사항!$E$27</f>
        <v>0</v>
      </c>
      <c r="C4" s="94">
        <f>[1]실험기록부!$C$10</f>
        <v>0</v>
      </c>
      <c r="D4" s="95">
        <f>[1]실험기록부!$D$10</f>
        <v>0</v>
      </c>
      <c r="E4" s="96">
        <f>[1]실험기록부!$E$10</f>
        <v>0</v>
      </c>
      <c r="F4" s="97">
        <f>[1]실험기록부!$F$10</f>
        <v>0</v>
      </c>
      <c r="G4" s="97">
        <f>[1]실험기록부!$G$10</f>
        <v>0</v>
      </c>
      <c r="H4" s="98">
        <f>[1]실험기록부!$H$10</f>
        <v>0</v>
      </c>
      <c r="I4" s="26"/>
      <c r="K4" s="62" t="str">
        <f>IF(B4&gt;0,B4,"")</f>
        <v/>
      </c>
      <c r="L4" s="63" t="str">
        <f t="shared" ref="L4:P4" si="0">IF(C4&gt;0,C4,"")</f>
        <v/>
      </c>
      <c r="M4" s="63" t="str">
        <f t="shared" si="0"/>
        <v/>
      </c>
      <c r="N4" s="63" t="str">
        <f t="shared" si="0"/>
        <v/>
      </c>
      <c r="O4" s="63" t="str">
        <f t="shared" si="0"/>
        <v/>
      </c>
      <c r="P4" s="63" t="str">
        <f t="shared" si="0"/>
        <v/>
      </c>
      <c r="Q4" s="64" t="str">
        <f>IF(H4&gt;0,H4,"")</f>
        <v/>
      </c>
      <c r="R4" s="65" t="str">
        <f>IF(I4&gt;0,I4,"")</f>
        <v/>
      </c>
    </row>
    <row r="5" spans="1:18" ht="20.100000000000001" customHeight="1">
      <c r="A5" s="25">
        <f>[3]일반사항!$B$4</f>
        <v>44318</v>
      </c>
      <c r="B5" s="58">
        <f>[3]일반사항!$E$27</f>
        <v>0</v>
      </c>
      <c r="C5" s="51">
        <f>[3]실험기록부!$C$10</f>
        <v>0</v>
      </c>
      <c r="D5" s="52">
        <f>[3]실험기록부!$D$10</f>
        <v>0</v>
      </c>
      <c r="E5" s="53">
        <f>[3]실험기록부!$E$10</f>
        <v>0</v>
      </c>
      <c r="F5" s="48">
        <f>[3]실험기록부!$F$10</f>
        <v>0</v>
      </c>
      <c r="G5" s="48">
        <f>[3]실험기록부!$G$10</f>
        <v>0</v>
      </c>
      <c r="H5" s="47">
        <f>[3]실험기록부!$H$10</f>
        <v>0</v>
      </c>
      <c r="I5" s="27"/>
      <c r="K5" s="65" t="str">
        <f t="shared" ref="K5:K34" si="1">IF(B5&gt;0,B5,"")</f>
        <v/>
      </c>
      <c r="L5" s="66" t="str">
        <f t="shared" ref="L5:L34" si="2">IF(C5&gt;0,C5,"")</f>
        <v/>
      </c>
      <c r="M5" s="66" t="str">
        <f t="shared" ref="M5:M34" si="3">IF(D5&gt;0,D5,"")</f>
        <v/>
      </c>
      <c r="N5" s="66" t="str">
        <f t="shared" ref="N5:N34" si="4">IF(E5&gt;0,E5,"")</f>
        <v/>
      </c>
      <c r="O5" s="66" t="str">
        <f t="shared" ref="O5:O34" si="5">IF(F5&gt;0,F5,"")</f>
        <v/>
      </c>
      <c r="P5" s="66" t="str">
        <f t="shared" ref="P5:P34" si="6">IF(G5&gt;0,G5,"")</f>
        <v/>
      </c>
      <c r="Q5" s="67" t="str">
        <f t="shared" ref="Q5:Q34" si="7">IF(H5&gt;0,H5,"")</f>
        <v/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44319</v>
      </c>
      <c r="B6" s="58">
        <f>[5]일반사항!$E$27</f>
        <v>6.8049999999999997</v>
      </c>
      <c r="C6" s="51">
        <f>[5]실험기록부!$C$10</f>
        <v>7.9949999999999992</v>
      </c>
      <c r="D6" s="52">
        <f>[5]실험기록부!$D$10</f>
        <v>15.456106138641999</v>
      </c>
      <c r="E6" s="53">
        <f>[5]실험기록부!$E$10</f>
        <v>10.800000000000011</v>
      </c>
      <c r="F6" s="48">
        <f>[5]실험기록부!$F$10</f>
        <v>9.3388799999999996</v>
      </c>
      <c r="G6" s="48">
        <f>[5]실험기록부!$G$10</f>
        <v>0.35491200000000001</v>
      </c>
      <c r="H6" s="47">
        <f>[5]실험기록부!$H$10</f>
        <v>610</v>
      </c>
      <c r="I6" s="27"/>
      <c r="K6" s="65">
        <f t="shared" si="1"/>
        <v>6.8049999999999997</v>
      </c>
      <c r="L6" s="66">
        <f t="shared" si="2"/>
        <v>7.9949999999999992</v>
      </c>
      <c r="M6" s="66">
        <f t="shared" si="3"/>
        <v>15.456106138641999</v>
      </c>
      <c r="N6" s="66">
        <f t="shared" si="4"/>
        <v>10.800000000000011</v>
      </c>
      <c r="O6" s="66">
        <f t="shared" si="5"/>
        <v>9.3388799999999996</v>
      </c>
      <c r="P6" s="66">
        <f t="shared" si="6"/>
        <v>0.35491200000000001</v>
      </c>
      <c r="Q6" s="67">
        <f t="shared" si="7"/>
        <v>610</v>
      </c>
      <c r="R6" s="65" t="str">
        <f t="shared" si="8"/>
        <v/>
      </c>
    </row>
    <row r="7" spans="1:18" ht="20.100000000000001" customHeight="1">
      <c r="A7" s="25">
        <f>[7]일반사항!$B$4</f>
        <v>44320</v>
      </c>
      <c r="B7" s="58">
        <f>[7]일반사항!$E$27</f>
        <v>6.7750000000000004</v>
      </c>
      <c r="C7" s="51">
        <f>[7]실험기록부!$C$10</f>
        <v>7.83</v>
      </c>
      <c r="D7" s="52">
        <f>[7]실험기록부!$D$10</f>
        <v>16.422887935089999</v>
      </c>
      <c r="E7" s="53">
        <f>[7]실험기록부!$E$10</f>
        <v>11.199999999999989</v>
      </c>
      <c r="F7" s="48">
        <f>[7]실험기록부!$F$10</f>
        <v>8.0040000000000013</v>
      </c>
      <c r="G7" s="48">
        <f>[7]실험기록부!$G$10</f>
        <v>0.40435199999999993</v>
      </c>
      <c r="H7" s="47">
        <f>[7]실험기록부!$H$10</f>
        <v>610</v>
      </c>
      <c r="I7" s="27"/>
      <c r="K7" s="65">
        <f t="shared" si="1"/>
        <v>6.7750000000000004</v>
      </c>
      <c r="L7" s="66">
        <f t="shared" si="2"/>
        <v>7.83</v>
      </c>
      <c r="M7" s="66">
        <f t="shared" si="3"/>
        <v>16.422887935089999</v>
      </c>
      <c r="N7" s="66">
        <f t="shared" si="4"/>
        <v>11.199999999999989</v>
      </c>
      <c r="O7" s="66">
        <f t="shared" si="5"/>
        <v>8.0040000000000013</v>
      </c>
      <c r="P7" s="66">
        <f t="shared" si="6"/>
        <v>0.40435199999999993</v>
      </c>
      <c r="Q7" s="67">
        <f t="shared" si="7"/>
        <v>610</v>
      </c>
      <c r="R7" s="65" t="str">
        <f t="shared" si="8"/>
        <v/>
      </c>
    </row>
    <row r="8" spans="1:18" ht="20.100000000000001" customHeight="1">
      <c r="A8" s="25">
        <f>[9]일반사항!$B$4</f>
        <v>44321</v>
      </c>
      <c r="B8" s="58">
        <f>[9]일반사항!$E$27</f>
        <v>0</v>
      </c>
      <c r="C8" s="51">
        <f>[9]실험기록부!$C$10</f>
        <v>0</v>
      </c>
      <c r="D8" s="52">
        <f>[9]실험기록부!$D$10</f>
        <v>0</v>
      </c>
      <c r="E8" s="53">
        <f>[9]실험기록부!$E$10</f>
        <v>0</v>
      </c>
      <c r="F8" s="48">
        <f>[9]실험기록부!$F$10</f>
        <v>0</v>
      </c>
      <c r="G8" s="48">
        <f>[9]실험기록부!$G$10</f>
        <v>0</v>
      </c>
      <c r="H8" s="47">
        <f>[9]실험기록부!$H$10</f>
        <v>0</v>
      </c>
      <c r="I8" s="27"/>
      <c r="K8" s="65" t="str">
        <f t="shared" si="1"/>
        <v/>
      </c>
      <c r="L8" s="66" t="str">
        <f t="shared" si="2"/>
        <v/>
      </c>
      <c r="M8" s="66" t="str">
        <f t="shared" si="3"/>
        <v/>
      </c>
      <c r="N8" s="66" t="str">
        <f t="shared" si="4"/>
        <v/>
      </c>
      <c r="O8" s="66" t="str">
        <f t="shared" si="5"/>
        <v/>
      </c>
      <c r="P8" s="66" t="str">
        <f t="shared" si="6"/>
        <v/>
      </c>
      <c r="Q8" s="67" t="str">
        <f t="shared" si="7"/>
        <v/>
      </c>
      <c r="R8" s="65" t="str">
        <f t="shared" si="8"/>
        <v/>
      </c>
    </row>
    <row r="9" spans="1:18" ht="20.100000000000001" customHeight="1">
      <c r="A9" s="25">
        <f>[11]일반사항!$B$4</f>
        <v>44322</v>
      </c>
      <c r="B9" s="58">
        <f>[11]일반사항!$E$27</f>
        <v>6.7750000000000004</v>
      </c>
      <c r="C9" s="51">
        <f>[11]실험기록부!$C$10</f>
        <v>9.18</v>
      </c>
      <c r="D9" s="52">
        <f>[11]실험기록부!$D$10</f>
        <v>17.428491266594001</v>
      </c>
      <c r="E9" s="53">
        <f>[11]실험기록부!$E$10</f>
        <v>11.600000000000021</v>
      </c>
      <c r="F9" s="48">
        <f>[11]실험기록부!$F$10</f>
        <v>9.94848</v>
      </c>
      <c r="G9" s="48">
        <f>[11]실험기록부!$G$10</f>
        <v>0.234432</v>
      </c>
      <c r="H9" s="47">
        <f>[11]실험기록부!$H$10</f>
        <v>720</v>
      </c>
      <c r="I9" s="27"/>
      <c r="K9" s="65">
        <f t="shared" si="1"/>
        <v>6.7750000000000004</v>
      </c>
      <c r="L9" s="66">
        <f t="shared" si="2"/>
        <v>9.18</v>
      </c>
      <c r="M9" s="66">
        <f t="shared" si="3"/>
        <v>17.428491266594001</v>
      </c>
      <c r="N9" s="66">
        <f t="shared" si="4"/>
        <v>11.600000000000021</v>
      </c>
      <c r="O9" s="66">
        <f t="shared" si="5"/>
        <v>9.94848</v>
      </c>
      <c r="P9" s="66">
        <f t="shared" si="6"/>
        <v>0.234432</v>
      </c>
      <c r="Q9" s="67">
        <f t="shared" si="7"/>
        <v>720</v>
      </c>
      <c r="R9" s="65" t="str">
        <f t="shared" si="8"/>
        <v/>
      </c>
    </row>
    <row r="10" spans="1:18" ht="20.100000000000001" customHeight="1">
      <c r="A10" s="25">
        <f>[13]일반사항!$B$4</f>
        <v>44323</v>
      </c>
      <c r="B10" s="58">
        <f>[13]일반사항!$E$27</f>
        <v>6.8449999999999998</v>
      </c>
      <c r="C10" s="51">
        <f>[13]실험기록부!$C$10</f>
        <v>8.6850000000000023</v>
      </c>
      <c r="D10" s="52">
        <f>[13]실험기록부!$D$10</f>
        <v>0</v>
      </c>
      <c r="E10" s="53">
        <f>[13]실험기록부!$E$10</f>
        <v>10.800000000000011</v>
      </c>
      <c r="F10" s="48">
        <f>[13]실험기록부!$F$10</f>
        <v>12.508800000000001</v>
      </c>
      <c r="G10" s="48">
        <f>[13]실험기록부!$G$10</f>
        <v>0.41596799999999995</v>
      </c>
      <c r="H10" s="47">
        <f>[13]실험기록부!$H$10</f>
        <v>650</v>
      </c>
      <c r="I10" s="27"/>
      <c r="K10" s="65">
        <f t="shared" si="1"/>
        <v>6.8449999999999998</v>
      </c>
      <c r="L10" s="66">
        <f t="shared" si="2"/>
        <v>8.6850000000000023</v>
      </c>
      <c r="M10" s="66" t="str">
        <f t="shared" si="3"/>
        <v/>
      </c>
      <c r="N10" s="66">
        <f t="shared" si="4"/>
        <v>10.800000000000011</v>
      </c>
      <c r="O10" s="66">
        <f t="shared" si="5"/>
        <v>12.508800000000001</v>
      </c>
      <c r="P10" s="66">
        <f t="shared" si="6"/>
        <v>0.41596799999999995</v>
      </c>
      <c r="Q10" s="67">
        <f t="shared" si="7"/>
        <v>650</v>
      </c>
      <c r="R10" s="65" t="str">
        <f t="shared" si="8"/>
        <v/>
      </c>
    </row>
    <row r="11" spans="1:18" ht="20.100000000000001" customHeight="1">
      <c r="A11" s="25">
        <f>[15]일반사항!$B$4</f>
        <v>44324</v>
      </c>
      <c r="B11" s="58">
        <f>[15]일반사항!$E$27</f>
        <v>0</v>
      </c>
      <c r="C11" s="51">
        <f>[15]실험기록부!$C$10</f>
        <v>0</v>
      </c>
      <c r="D11" s="52">
        <f>[15]실험기록부!$D$10</f>
        <v>0</v>
      </c>
      <c r="E11" s="53">
        <f>[15]실험기록부!$E$10</f>
        <v>0</v>
      </c>
      <c r="F11" s="48">
        <f>[15]실험기록부!$F$10</f>
        <v>0</v>
      </c>
      <c r="G11" s="48">
        <f>[15]실험기록부!$G$10</f>
        <v>0</v>
      </c>
      <c r="H11" s="47">
        <f>[15]실험기록부!$H$10</f>
        <v>0</v>
      </c>
      <c r="I11" s="27"/>
      <c r="K11" s="65" t="str">
        <f t="shared" si="1"/>
        <v/>
      </c>
      <c r="L11" s="66" t="str">
        <f t="shared" si="2"/>
        <v/>
      </c>
      <c r="M11" s="66" t="str">
        <f t="shared" si="3"/>
        <v/>
      </c>
      <c r="N11" s="66" t="str">
        <f t="shared" si="4"/>
        <v/>
      </c>
      <c r="O11" s="66" t="str">
        <f t="shared" si="5"/>
        <v/>
      </c>
      <c r="P11" s="66" t="str">
        <f t="shared" si="6"/>
        <v/>
      </c>
      <c r="Q11" s="67" t="str">
        <f t="shared" si="7"/>
        <v/>
      </c>
      <c r="R11" s="65" t="str">
        <f t="shared" si="8"/>
        <v/>
      </c>
    </row>
    <row r="12" spans="1:18" ht="20.100000000000001" customHeight="1">
      <c r="A12" s="25">
        <f>[17]일반사항!$B$4</f>
        <v>44325</v>
      </c>
      <c r="B12" s="58">
        <f>[17]일반사항!$E$27</f>
        <v>0</v>
      </c>
      <c r="C12" s="51">
        <f>[17]실험기록부!$C$10</f>
        <v>0</v>
      </c>
      <c r="D12" s="52">
        <f>[17]실험기록부!$D$10</f>
        <v>0</v>
      </c>
      <c r="E12" s="53">
        <f>[17]실험기록부!$E$10</f>
        <v>0</v>
      </c>
      <c r="F12" s="48">
        <f>[17]실험기록부!$F$10</f>
        <v>0</v>
      </c>
      <c r="G12" s="48">
        <f>[17]실험기록부!$G$10</f>
        <v>0</v>
      </c>
      <c r="H12" s="47">
        <f>[17]실험기록부!$H$10</f>
        <v>0</v>
      </c>
      <c r="I12" s="27"/>
      <c r="K12" s="65" t="str">
        <f t="shared" si="1"/>
        <v/>
      </c>
      <c r="L12" s="66" t="str">
        <f t="shared" si="2"/>
        <v/>
      </c>
      <c r="M12" s="66" t="str">
        <f t="shared" si="3"/>
        <v/>
      </c>
      <c r="N12" s="66" t="str">
        <f t="shared" si="4"/>
        <v/>
      </c>
      <c r="O12" s="66" t="str">
        <f t="shared" si="5"/>
        <v/>
      </c>
      <c r="P12" s="66" t="str">
        <f t="shared" si="6"/>
        <v/>
      </c>
      <c r="Q12" s="67" t="str">
        <f t="shared" si="7"/>
        <v/>
      </c>
      <c r="R12" s="65" t="str">
        <f t="shared" si="8"/>
        <v/>
      </c>
    </row>
    <row r="13" spans="1:18" ht="20.100000000000001" customHeight="1">
      <c r="A13" s="25">
        <f>[19]일반사항!$B$4</f>
        <v>44326</v>
      </c>
      <c r="B13" s="58">
        <f>[19]일반사항!$E$27</f>
        <v>6.8149999999999995</v>
      </c>
      <c r="C13" s="51">
        <f>[19]실험기록부!$C$10</f>
        <v>8.2949999999999982</v>
      </c>
      <c r="D13" s="52">
        <f>[19]실험기록부!$D$10</f>
        <v>21.486201496122</v>
      </c>
      <c r="E13" s="53">
        <f>[19]실험기록부!$E$10</f>
        <v>11.199999999999989</v>
      </c>
      <c r="F13" s="48">
        <f>[19]실험기록부!$F$10</f>
        <v>10.289760000000001</v>
      </c>
      <c r="G13" s="48">
        <f>[19]실험기록부!$G$10</f>
        <v>0.33614400000000005</v>
      </c>
      <c r="H13" s="47">
        <f>[19]실험기록부!$H$10</f>
        <v>620</v>
      </c>
      <c r="I13" s="27"/>
      <c r="K13" s="65">
        <f t="shared" si="1"/>
        <v>6.8149999999999995</v>
      </c>
      <c r="L13" s="66">
        <f t="shared" si="2"/>
        <v>8.2949999999999982</v>
      </c>
      <c r="M13" s="66">
        <f t="shared" si="3"/>
        <v>21.486201496122</v>
      </c>
      <c r="N13" s="66">
        <f t="shared" si="4"/>
        <v>11.199999999999989</v>
      </c>
      <c r="O13" s="66">
        <f t="shared" si="5"/>
        <v>10.289760000000001</v>
      </c>
      <c r="P13" s="66">
        <f t="shared" si="6"/>
        <v>0.33614400000000005</v>
      </c>
      <c r="Q13" s="67">
        <f t="shared" si="7"/>
        <v>620</v>
      </c>
      <c r="R13" s="65" t="str">
        <f t="shared" si="8"/>
        <v/>
      </c>
    </row>
    <row r="14" spans="1:18" ht="20.100000000000001" customHeight="1">
      <c r="A14" s="25">
        <f>[21]일반사항!$B$4</f>
        <v>44327</v>
      </c>
      <c r="B14" s="58">
        <f>[21]일반사항!$E$27</f>
        <v>6.8049999999999997</v>
      </c>
      <c r="C14" s="51">
        <f>[21]실험기록부!$C$10</f>
        <v>8.5499999999999989</v>
      </c>
      <c r="D14" s="52">
        <f>[21]실험기록부!$D$10</f>
        <v>18.459568573532</v>
      </c>
      <c r="E14" s="53">
        <f>[21]실험기록부!$E$10</f>
        <v>10.400000000000034</v>
      </c>
      <c r="F14" s="48">
        <f>[21]실험기록부!$F$10</f>
        <v>10.117439999999998</v>
      </c>
      <c r="G14" s="48">
        <f>[21]실험기록부!$G$10</f>
        <v>0.54787200000000003</v>
      </c>
      <c r="H14" s="47">
        <f>[21]실험기록부!$H$10</f>
        <v>620</v>
      </c>
      <c r="I14" s="27"/>
      <c r="K14" s="65">
        <f t="shared" si="1"/>
        <v>6.8049999999999997</v>
      </c>
      <c r="L14" s="66">
        <f t="shared" si="2"/>
        <v>8.5499999999999989</v>
      </c>
      <c r="M14" s="66">
        <f t="shared" si="3"/>
        <v>18.459568573532</v>
      </c>
      <c r="N14" s="66">
        <f t="shared" si="4"/>
        <v>10.400000000000034</v>
      </c>
      <c r="O14" s="66">
        <f t="shared" si="5"/>
        <v>10.117439999999998</v>
      </c>
      <c r="P14" s="66">
        <f t="shared" si="6"/>
        <v>0.54787200000000003</v>
      </c>
      <c r="Q14" s="67">
        <f t="shared" si="7"/>
        <v>620</v>
      </c>
      <c r="R14" s="65" t="str">
        <f t="shared" si="8"/>
        <v/>
      </c>
    </row>
    <row r="15" spans="1:18" ht="20.100000000000001" customHeight="1">
      <c r="A15" s="25">
        <f>[23]일반사항!$B$4</f>
        <v>44328</v>
      </c>
      <c r="B15" s="58">
        <f>[23]일반사항!$E$27</f>
        <v>6.7850000000000001</v>
      </c>
      <c r="C15" s="51">
        <f>[23]실험기록부!$C$10</f>
        <v>7.6799999999999988</v>
      </c>
      <c r="D15" s="52">
        <f>[23]실험기록부!$D$10</f>
        <v>20.431308844556</v>
      </c>
      <c r="E15" s="53">
        <f>[23]실험기록부!$E$10</f>
        <v>10.799999999999955</v>
      </c>
      <c r="F15" s="48">
        <f>[23]실험기록부!$F$10</f>
        <v>11.365440000000001</v>
      </c>
      <c r="G15" s="48">
        <f>[23]실험기록부!$G$10</f>
        <v>0.53414399999999995</v>
      </c>
      <c r="H15" s="47">
        <f>[23]실험기록부!$H$10</f>
        <v>720</v>
      </c>
      <c r="I15" s="27"/>
      <c r="K15" s="65">
        <f t="shared" si="1"/>
        <v>6.7850000000000001</v>
      </c>
      <c r="L15" s="66">
        <f t="shared" si="2"/>
        <v>7.6799999999999988</v>
      </c>
      <c r="M15" s="66">
        <f t="shared" si="3"/>
        <v>20.431308844556</v>
      </c>
      <c r="N15" s="66">
        <f t="shared" si="4"/>
        <v>10.799999999999955</v>
      </c>
      <c r="O15" s="66">
        <f t="shared" si="5"/>
        <v>11.365440000000001</v>
      </c>
      <c r="P15" s="66">
        <f t="shared" si="6"/>
        <v>0.53414399999999995</v>
      </c>
      <c r="Q15" s="67">
        <f t="shared" si="7"/>
        <v>720</v>
      </c>
      <c r="R15" s="65" t="str">
        <f t="shared" si="8"/>
        <v/>
      </c>
    </row>
    <row r="16" spans="1:18" ht="20.100000000000001" customHeight="1">
      <c r="A16" s="25">
        <f>[25]일반사항!$B$4</f>
        <v>44329</v>
      </c>
      <c r="B16" s="58">
        <f>[25]일반사항!$E$27</f>
        <v>6.8149999999999995</v>
      </c>
      <c r="C16" s="51">
        <f>[25]실험기록부!$C$10</f>
        <v>7.7850000000000001</v>
      </c>
      <c r="D16" s="52">
        <f>[25]실험기록부!$D$10</f>
        <v>20.147119789693999</v>
      </c>
      <c r="E16" s="53">
        <f>[25]실험기록부!$E$10</f>
        <v>11.199999999999989</v>
      </c>
      <c r="F16" s="48">
        <f>[25]실험기록부!$F$10</f>
        <v>7.246080000000001</v>
      </c>
      <c r="G16" s="48">
        <f>[25]실험기록부!$G$10</f>
        <v>0.54009600000000002</v>
      </c>
      <c r="H16" s="47">
        <f>[25]실험기록부!$H$10</f>
        <v>630</v>
      </c>
      <c r="I16" s="27"/>
      <c r="K16" s="65">
        <f t="shared" si="1"/>
        <v>6.8149999999999995</v>
      </c>
      <c r="L16" s="66">
        <f t="shared" si="2"/>
        <v>7.7850000000000001</v>
      </c>
      <c r="M16" s="66">
        <f t="shared" si="3"/>
        <v>20.147119789693999</v>
      </c>
      <c r="N16" s="66">
        <f t="shared" si="4"/>
        <v>11.199999999999989</v>
      </c>
      <c r="O16" s="66">
        <f t="shared" si="5"/>
        <v>7.246080000000001</v>
      </c>
      <c r="P16" s="66">
        <f t="shared" si="6"/>
        <v>0.54009600000000002</v>
      </c>
      <c r="Q16" s="67">
        <f t="shared" si="7"/>
        <v>630</v>
      </c>
      <c r="R16" s="65" t="str">
        <f t="shared" si="8"/>
        <v/>
      </c>
    </row>
    <row r="17" spans="1:18" ht="20.100000000000001" customHeight="1">
      <c r="A17" s="25">
        <f>[27]일반사항!$B$4</f>
        <v>44330</v>
      </c>
      <c r="B17" s="58">
        <f>[27]일반사항!$E$27</f>
        <v>6.7750000000000004</v>
      </c>
      <c r="C17" s="51">
        <f>[27]실험기록부!$C$10</f>
        <v>7.7099999999999991</v>
      </c>
      <c r="D17" s="52">
        <f>[27]실험기록부!$D$10</f>
        <v>0</v>
      </c>
      <c r="E17" s="53">
        <f>[27]실험기록부!$E$10</f>
        <v>11.199999999999989</v>
      </c>
      <c r="F17" s="48">
        <f>[27]실험기록부!$F$10</f>
        <v>11.1648</v>
      </c>
      <c r="G17" s="48">
        <f>[27]실험기록부!$G$10</f>
        <v>0.59904000000000002</v>
      </c>
      <c r="H17" s="47">
        <f>[27]실험기록부!$H$10</f>
        <v>610</v>
      </c>
      <c r="I17" s="27"/>
      <c r="K17" s="65">
        <f t="shared" si="1"/>
        <v>6.7750000000000004</v>
      </c>
      <c r="L17" s="66">
        <f t="shared" si="2"/>
        <v>7.7099999999999991</v>
      </c>
      <c r="M17" s="66" t="str">
        <f t="shared" si="3"/>
        <v/>
      </c>
      <c r="N17" s="66">
        <f t="shared" si="4"/>
        <v>11.199999999999989</v>
      </c>
      <c r="O17" s="66">
        <f t="shared" si="5"/>
        <v>11.1648</v>
      </c>
      <c r="P17" s="66">
        <f t="shared" si="6"/>
        <v>0.59904000000000002</v>
      </c>
      <c r="Q17" s="67">
        <f t="shared" si="7"/>
        <v>610</v>
      </c>
      <c r="R17" s="65" t="str">
        <f t="shared" si="8"/>
        <v/>
      </c>
    </row>
    <row r="18" spans="1:18" ht="20.100000000000001" customHeight="1">
      <c r="A18" s="25">
        <f>[29]일반사항!$B$4</f>
        <v>44331</v>
      </c>
      <c r="B18" s="58">
        <f>[29]일반사항!$E$27</f>
        <v>0</v>
      </c>
      <c r="C18" s="51">
        <f>[29]실험기록부!$C$10</f>
        <v>0</v>
      </c>
      <c r="D18" s="52">
        <f>[29]실험기록부!$D$10</f>
        <v>0</v>
      </c>
      <c r="E18" s="53">
        <f>[29]실험기록부!$E$10</f>
        <v>0</v>
      </c>
      <c r="F18" s="48">
        <f>[29]실험기록부!$F$10</f>
        <v>0</v>
      </c>
      <c r="G18" s="48">
        <f>[29]실험기록부!$G$10</f>
        <v>0</v>
      </c>
      <c r="H18" s="47">
        <f>[29]실험기록부!$H$10</f>
        <v>0</v>
      </c>
      <c r="I18" s="27"/>
      <c r="K18" s="65" t="str">
        <f t="shared" si="1"/>
        <v/>
      </c>
      <c r="L18" s="66" t="str">
        <f t="shared" si="2"/>
        <v/>
      </c>
      <c r="M18" s="66" t="str">
        <f t="shared" si="3"/>
        <v/>
      </c>
      <c r="N18" s="66" t="str">
        <f t="shared" si="4"/>
        <v/>
      </c>
      <c r="O18" s="66" t="str">
        <f t="shared" si="5"/>
        <v/>
      </c>
      <c r="P18" s="66" t="str">
        <f t="shared" si="6"/>
        <v/>
      </c>
      <c r="Q18" s="67" t="str">
        <f t="shared" si="7"/>
        <v/>
      </c>
      <c r="R18" s="65" t="str">
        <f t="shared" si="8"/>
        <v/>
      </c>
    </row>
    <row r="19" spans="1:18" ht="20.100000000000001" customHeight="1">
      <c r="A19" s="25">
        <f>[31]일반사항!$B$4</f>
        <v>44332</v>
      </c>
      <c r="B19" s="58">
        <f>[31]일반사항!$E$27</f>
        <v>0</v>
      </c>
      <c r="C19" s="51">
        <f>[31]실험기록부!$C$10</f>
        <v>0</v>
      </c>
      <c r="D19" s="52">
        <f>[31]실험기록부!$D$10</f>
        <v>0</v>
      </c>
      <c r="E19" s="53">
        <f>[31]실험기록부!$E$10</f>
        <v>0</v>
      </c>
      <c r="F19" s="48">
        <f>[31]실험기록부!$F$10</f>
        <v>0</v>
      </c>
      <c r="G19" s="48">
        <f>[31]실험기록부!$G$10</f>
        <v>0</v>
      </c>
      <c r="H19" s="47">
        <f>[31]실험기록부!$H$10</f>
        <v>0</v>
      </c>
      <c r="I19" s="27"/>
      <c r="K19" s="65" t="str">
        <f t="shared" si="1"/>
        <v/>
      </c>
      <c r="L19" s="66" t="str">
        <f t="shared" si="2"/>
        <v/>
      </c>
      <c r="M19" s="66" t="str">
        <f t="shared" si="3"/>
        <v/>
      </c>
      <c r="N19" s="66" t="str">
        <f t="shared" si="4"/>
        <v/>
      </c>
      <c r="O19" s="66" t="str">
        <f t="shared" si="5"/>
        <v/>
      </c>
      <c r="P19" s="66" t="str">
        <f t="shared" si="6"/>
        <v/>
      </c>
      <c r="Q19" s="67" t="str">
        <f t="shared" si="7"/>
        <v/>
      </c>
      <c r="R19" s="65" t="str">
        <f t="shared" si="8"/>
        <v/>
      </c>
    </row>
    <row r="20" spans="1:18" ht="20.100000000000001" customHeight="1">
      <c r="A20" s="25">
        <f>[33]일반사항!$B$4</f>
        <v>44333</v>
      </c>
      <c r="B20" s="58">
        <f>[33]일반사항!$E$27</f>
        <v>6.8049999999999997</v>
      </c>
      <c r="C20" s="51">
        <f>[33]실험기록부!$C$10</f>
        <v>8.2799999999999994</v>
      </c>
      <c r="D20" s="52">
        <f>[33]실험기록부!$D$10</f>
        <v>12.931619158482</v>
      </c>
      <c r="E20" s="53">
        <f>[33]실험기록부!$E$10</f>
        <v>11.199999999999989</v>
      </c>
      <c r="F20" s="48">
        <f>[33]실험기록부!$F$10</f>
        <v>8.5137599999999996</v>
      </c>
      <c r="G20" s="48">
        <f>[33]실험기록부!$G$10</f>
        <v>0.34617599999999998</v>
      </c>
      <c r="H20" s="47">
        <f>[33]실험기록부!$H$10</f>
        <v>610</v>
      </c>
      <c r="I20" s="27"/>
      <c r="K20" s="65">
        <f t="shared" si="1"/>
        <v>6.8049999999999997</v>
      </c>
      <c r="L20" s="66">
        <f t="shared" si="2"/>
        <v>8.2799999999999994</v>
      </c>
      <c r="M20" s="66">
        <f t="shared" si="3"/>
        <v>12.931619158482</v>
      </c>
      <c r="N20" s="66">
        <f t="shared" si="4"/>
        <v>11.199999999999989</v>
      </c>
      <c r="O20" s="66">
        <f t="shared" si="5"/>
        <v>8.5137599999999996</v>
      </c>
      <c r="P20" s="66">
        <f t="shared" si="6"/>
        <v>0.34617599999999998</v>
      </c>
      <c r="Q20" s="67">
        <f t="shared" si="7"/>
        <v>610</v>
      </c>
      <c r="R20" s="65" t="str">
        <f t="shared" si="8"/>
        <v/>
      </c>
    </row>
    <row r="21" spans="1:18" ht="20.100000000000001" customHeight="1">
      <c r="A21" s="25">
        <f>[35]일반사항!$B$4</f>
        <v>44334</v>
      </c>
      <c r="B21" s="58">
        <f>[35]일반사항!$E$27</f>
        <v>6.8149999999999995</v>
      </c>
      <c r="C21" s="51">
        <f>[35]실험기록부!$C$10</f>
        <v>7.8450000000000006</v>
      </c>
      <c r="D21" s="52">
        <f>[35]실험기록부!$D$10</f>
        <v>12.419282160168001</v>
      </c>
      <c r="E21" s="53">
        <f>[35]실험기록부!$E$10</f>
        <v>11.199999999999989</v>
      </c>
      <c r="F21" s="48">
        <f>[35]실험기록부!$F$10</f>
        <v>9.7147199999999998</v>
      </c>
      <c r="G21" s="48">
        <f>[35]실험기록부!$G$10</f>
        <v>0.38217600000000007</v>
      </c>
      <c r="H21" s="47">
        <f>[35]실험기록부!$H$10</f>
        <v>610</v>
      </c>
      <c r="I21" s="27"/>
      <c r="K21" s="65">
        <f t="shared" si="1"/>
        <v>6.8149999999999995</v>
      </c>
      <c r="L21" s="66">
        <f t="shared" si="2"/>
        <v>7.8450000000000006</v>
      </c>
      <c r="M21" s="66">
        <f t="shared" si="3"/>
        <v>12.419282160168001</v>
      </c>
      <c r="N21" s="66">
        <f t="shared" si="4"/>
        <v>11.199999999999989</v>
      </c>
      <c r="O21" s="66">
        <f t="shared" si="5"/>
        <v>9.7147199999999998</v>
      </c>
      <c r="P21" s="66">
        <f t="shared" si="6"/>
        <v>0.38217600000000007</v>
      </c>
      <c r="Q21" s="67">
        <f t="shared" si="7"/>
        <v>610</v>
      </c>
      <c r="R21" s="65"/>
    </row>
    <row r="22" spans="1:18" ht="20.100000000000001" customHeight="1">
      <c r="A22" s="25">
        <f>[37]일반사항!$B$4</f>
        <v>44335</v>
      </c>
      <c r="B22" s="58">
        <f>[37]일반사항!$E$27</f>
        <v>0</v>
      </c>
      <c r="C22" s="51">
        <f>[37]실험기록부!$C$10</f>
        <v>0</v>
      </c>
      <c r="D22" s="52">
        <f>[37]실험기록부!$D$10</f>
        <v>0</v>
      </c>
      <c r="E22" s="53">
        <f>[37]실험기록부!$E$10</f>
        <v>0</v>
      </c>
      <c r="F22" s="48">
        <f>[37]실험기록부!$F$10</f>
        <v>0</v>
      </c>
      <c r="G22" s="48">
        <f>[37]실험기록부!$G$10</f>
        <v>0</v>
      </c>
      <c r="H22" s="47">
        <f>[37]실험기록부!$H$10</f>
        <v>0</v>
      </c>
      <c r="I22" s="27"/>
      <c r="K22" s="65" t="str">
        <f t="shared" si="1"/>
        <v/>
      </c>
      <c r="L22" s="66" t="str">
        <f t="shared" si="2"/>
        <v/>
      </c>
      <c r="M22" s="66" t="str">
        <f t="shared" si="3"/>
        <v/>
      </c>
      <c r="N22" s="66" t="str">
        <f t="shared" si="4"/>
        <v/>
      </c>
      <c r="O22" s="66" t="str">
        <f t="shared" si="5"/>
        <v/>
      </c>
      <c r="P22" s="66" t="str">
        <f t="shared" si="6"/>
        <v/>
      </c>
      <c r="Q22" s="67" t="str">
        <f t="shared" si="7"/>
        <v/>
      </c>
      <c r="R22" s="65"/>
    </row>
    <row r="23" spans="1:18" ht="20.100000000000001" customHeight="1">
      <c r="A23" s="25">
        <f>[39]일반사항!$B$4</f>
        <v>44336</v>
      </c>
      <c r="B23" s="58">
        <f>[39]일반사항!$E$27</f>
        <v>6.8049999999999997</v>
      </c>
      <c r="C23" s="51">
        <f>[39]실험기록부!$C$10</f>
        <v>8.25</v>
      </c>
      <c r="D23" s="52">
        <f>[39]실험기록부!$D$10</f>
        <v>7.2535204675460001</v>
      </c>
      <c r="E23" s="53">
        <f>[39]실험기록부!$E$10</f>
        <v>9.600000000000021</v>
      </c>
      <c r="F23" s="48">
        <f>[39]실험기록부!$F$10</f>
        <v>8.2161600000000004</v>
      </c>
      <c r="G23" s="48">
        <f>[39]실험기록부!$G$10</f>
        <v>0.24739199999999997</v>
      </c>
      <c r="H23" s="47">
        <f>[39]실험기록부!$H$10</f>
        <v>620</v>
      </c>
      <c r="I23" s="27"/>
      <c r="K23" s="65">
        <f t="shared" si="1"/>
        <v>6.8049999999999997</v>
      </c>
      <c r="L23" s="66">
        <f t="shared" si="2"/>
        <v>8.25</v>
      </c>
      <c r="M23" s="66">
        <f t="shared" si="3"/>
        <v>7.2535204675460001</v>
      </c>
      <c r="N23" s="66">
        <f t="shared" si="4"/>
        <v>9.600000000000021</v>
      </c>
      <c r="O23" s="66">
        <f t="shared" si="5"/>
        <v>8.2161600000000004</v>
      </c>
      <c r="P23" s="66">
        <f t="shared" si="6"/>
        <v>0.24739199999999997</v>
      </c>
      <c r="Q23" s="67">
        <f t="shared" si="7"/>
        <v>620</v>
      </c>
      <c r="R23" s="65"/>
    </row>
    <row r="24" spans="1:18" ht="20.100000000000001" customHeight="1">
      <c r="A24" s="25">
        <f>[41]일반사항!$B$4</f>
        <v>44337</v>
      </c>
      <c r="B24" s="58">
        <f>[41]일반사항!$E$27</f>
        <v>6.84</v>
      </c>
      <c r="C24" s="51">
        <f>[41]실험기록부!$C$10</f>
        <v>7.4249999999999989</v>
      </c>
      <c r="D24" s="52">
        <f>[41]실험기록부!$D$10</f>
        <v>0</v>
      </c>
      <c r="E24" s="53">
        <f>[41]실험기록부!$E$10</f>
        <v>7.599999999999965</v>
      </c>
      <c r="F24" s="48">
        <f>[41]실험기록부!$F$10</f>
        <v>7.8888000000000016</v>
      </c>
      <c r="G24" s="48">
        <f>[41]실험기록부!$G$10</f>
        <v>0.31924799999999998</v>
      </c>
      <c r="H24" s="47">
        <f>[41]실험기록부!$H$10</f>
        <v>690</v>
      </c>
      <c r="I24" s="27"/>
      <c r="K24" s="65">
        <f t="shared" si="1"/>
        <v>6.84</v>
      </c>
      <c r="L24" s="66">
        <f t="shared" si="2"/>
        <v>7.4249999999999989</v>
      </c>
      <c r="M24" s="66" t="str">
        <f t="shared" si="3"/>
        <v/>
      </c>
      <c r="N24" s="66">
        <f t="shared" si="4"/>
        <v>7.599999999999965</v>
      </c>
      <c r="O24" s="66">
        <f t="shared" si="5"/>
        <v>7.8888000000000016</v>
      </c>
      <c r="P24" s="66">
        <f t="shared" si="6"/>
        <v>0.31924799999999998</v>
      </c>
      <c r="Q24" s="67">
        <f t="shared" si="7"/>
        <v>690</v>
      </c>
      <c r="R24" s="65"/>
    </row>
    <row r="25" spans="1:18" ht="20.100000000000001" customHeight="1">
      <c r="A25" s="25">
        <f>[43]일반사항!$B$4</f>
        <v>44338</v>
      </c>
      <c r="B25" s="58">
        <f>[43]일반사항!$E$27</f>
        <v>0</v>
      </c>
      <c r="C25" s="51">
        <f>[43]실험기록부!$C$10</f>
        <v>0</v>
      </c>
      <c r="D25" s="52">
        <f>[43]실험기록부!$D$10</f>
        <v>0</v>
      </c>
      <c r="E25" s="53">
        <f>[43]실험기록부!$E$10</f>
        <v>0</v>
      </c>
      <c r="F25" s="48">
        <f>[43]실험기록부!$F$10</f>
        <v>0</v>
      </c>
      <c r="G25" s="48">
        <f>[43]실험기록부!$G$10</f>
        <v>0</v>
      </c>
      <c r="H25" s="47">
        <f>[43]실험기록부!$H$10</f>
        <v>0</v>
      </c>
      <c r="I25" s="27"/>
      <c r="K25" s="65" t="str">
        <f t="shared" si="1"/>
        <v/>
      </c>
      <c r="L25" s="66" t="str">
        <f t="shared" si="2"/>
        <v/>
      </c>
      <c r="M25" s="66" t="str">
        <f t="shared" si="3"/>
        <v/>
      </c>
      <c r="N25" s="66" t="str">
        <f t="shared" si="4"/>
        <v/>
      </c>
      <c r="O25" s="66" t="str">
        <f t="shared" si="5"/>
        <v/>
      </c>
      <c r="P25" s="66" t="str">
        <f t="shared" si="6"/>
        <v/>
      </c>
      <c r="Q25" s="67" t="str">
        <f t="shared" si="7"/>
        <v/>
      </c>
      <c r="R25" s="65"/>
    </row>
    <row r="26" spans="1:18" ht="20.100000000000001" customHeight="1">
      <c r="A26" s="25">
        <f>[45]일반사항!$B$4</f>
        <v>44339</v>
      </c>
      <c r="B26" s="58">
        <f>[45]일반사항!$E$27</f>
        <v>0</v>
      </c>
      <c r="C26" s="51">
        <f>[45]실험기록부!$C$10</f>
        <v>0</v>
      </c>
      <c r="D26" s="52">
        <f>[45]실험기록부!$D$10</f>
        <v>0</v>
      </c>
      <c r="E26" s="53">
        <f>[45]실험기록부!$E$10</f>
        <v>0</v>
      </c>
      <c r="F26" s="48">
        <f>[45]실험기록부!$F$10</f>
        <v>0</v>
      </c>
      <c r="G26" s="48">
        <f>[45]실험기록부!$G$10</f>
        <v>0</v>
      </c>
      <c r="H26" s="47">
        <f>[45]실험기록부!$H$10</f>
        <v>0</v>
      </c>
      <c r="I26" s="27"/>
      <c r="K26" s="65" t="str">
        <f t="shared" si="1"/>
        <v/>
      </c>
      <c r="L26" s="66" t="str">
        <f t="shared" si="2"/>
        <v/>
      </c>
      <c r="M26" s="66" t="str">
        <f t="shared" si="3"/>
        <v/>
      </c>
      <c r="N26" s="66" t="str">
        <f t="shared" si="4"/>
        <v/>
      </c>
      <c r="O26" s="66" t="str">
        <f t="shared" si="5"/>
        <v/>
      </c>
      <c r="P26" s="66" t="str">
        <f t="shared" si="6"/>
        <v/>
      </c>
      <c r="Q26" s="67" t="str">
        <f t="shared" si="7"/>
        <v/>
      </c>
      <c r="R26" s="65"/>
    </row>
    <row r="27" spans="1:18" ht="20.100000000000001" customHeight="1">
      <c r="A27" s="25">
        <f>[47]일반사항!$B$4</f>
        <v>44340</v>
      </c>
      <c r="B27" s="58">
        <f>[47]일반사항!$E$27</f>
        <v>6.8049999999999997</v>
      </c>
      <c r="C27" s="51">
        <f>[47]실험기록부!$C$10</f>
        <v>6.4799999999999986</v>
      </c>
      <c r="D27" s="52">
        <f>[47]실험기록부!$D$10</f>
        <v>13.691684354704</v>
      </c>
      <c r="E27" s="53">
        <f>[47]실험기록부!$E$10</f>
        <v>12.400000000000034</v>
      </c>
      <c r="F27" s="48">
        <f>[47]실험기록부!$F$10</f>
        <v>6.5899200000000011</v>
      </c>
      <c r="G27" s="48">
        <f>[47]실험기록부!$G$10</f>
        <v>0.44591999999999998</v>
      </c>
      <c r="H27" s="47">
        <f>[47]실험기록부!$H$10</f>
        <v>620</v>
      </c>
      <c r="I27" s="27"/>
      <c r="K27" s="65">
        <f t="shared" si="1"/>
        <v>6.8049999999999997</v>
      </c>
      <c r="L27" s="66">
        <f t="shared" si="2"/>
        <v>6.4799999999999986</v>
      </c>
      <c r="M27" s="66">
        <f t="shared" si="3"/>
        <v>13.691684354704</v>
      </c>
      <c r="N27" s="66">
        <f t="shared" si="4"/>
        <v>12.400000000000034</v>
      </c>
      <c r="O27" s="66">
        <f t="shared" si="5"/>
        <v>6.5899200000000011</v>
      </c>
      <c r="P27" s="66">
        <f t="shared" si="6"/>
        <v>0.44591999999999998</v>
      </c>
      <c r="Q27" s="67">
        <f t="shared" si="7"/>
        <v>620</v>
      </c>
      <c r="R27" s="65"/>
    </row>
    <row r="28" spans="1:18" ht="20.100000000000001" customHeight="1">
      <c r="A28" s="25">
        <f>[49]일반사항!$B$4</f>
        <v>44341</v>
      </c>
      <c r="B28" s="58">
        <f>[49]일반사항!$E$27</f>
        <v>6.8449999999999998</v>
      </c>
      <c r="C28" s="51">
        <f>[49]실험기록부!$C$10</f>
        <v>7.8450000000000006</v>
      </c>
      <c r="D28" s="52">
        <f>[49]실험기록부!$D$10</f>
        <v>12.603524075764</v>
      </c>
      <c r="E28" s="53">
        <f>[49]실험기록부!$E$10</f>
        <v>11.200000000000045</v>
      </c>
      <c r="F28" s="48">
        <f>[49]실험기록부!$F$10</f>
        <v>6.08352</v>
      </c>
      <c r="G28" s="48">
        <f>[49]실험기록부!$G$10</f>
        <v>0.341808</v>
      </c>
      <c r="H28" s="47">
        <f>[49]실험기록부!$H$10</f>
        <v>610</v>
      </c>
      <c r="I28" s="27"/>
      <c r="J28" s="14"/>
      <c r="K28" s="65">
        <f t="shared" si="1"/>
        <v>6.8449999999999998</v>
      </c>
      <c r="L28" s="66">
        <f t="shared" si="2"/>
        <v>7.8450000000000006</v>
      </c>
      <c r="M28" s="66">
        <f t="shared" si="3"/>
        <v>12.603524075764</v>
      </c>
      <c r="N28" s="66">
        <f t="shared" si="4"/>
        <v>11.200000000000045</v>
      </c>
      <c r="O28" s="66">
        <f t="shared" si="5"/>
        <v>6.08352</v>
      </c>
      <c r="P28" s="66">
        <f t="shared" si="6"/>
        <v>0.341808</v>
      </c>
      <c r="Q28" s="67">
        <f t="shared" si="7"/>
        <v>610</v>
      </c>
      <c r="R28" s="65"/>
    </row>
    <row r="29" spans="1:18" ht="20.100000000000001" customHeight="1">
      <c r="A29" s="25">
        <f>[51]일반사항!$B$4</f>
        <v>44342</v>
      </c>
      <c r="B29" s="58">
        <f>[51]일반사항!$E$27</f>
        <v>6.8049999999999997</v>
      </c>
      <c r="C29" s="51">
        <f>[51]실험기록부!$C$10</f>
        <v>8.1449999999999996</v>
      </c>
      <c r="D29" s="52">
        <f>[51]실험기록부!$D$10</f>
        <v>10.234436639151999</v>
      </c>
      <c r="E29" s="53">
        <f>[51]실험기록부!$E$10</f>
        <v>11.199999999999989</v>
      </c>
      <c r="F29" s="48">
        <f>[51]실험기록부!$F$10</f>
        <v>6.8726400000000014</v>
      </c>
      <c r="G29" s="48">
        <f>[51]실험기록부!$G$10</f>
        <v>0.31291200000000002</v>
      </c>
      <c r="H29" s="47">
        <f>[51]실험기록부!$H$10</f>
        <v>610</v>
      </c>
      <c r="I29" s="27"/>
      <c r="K29" s="65">
        <f t="shared" si="1"/>
        <v>6.8049999999999997</v>
      </c>
      <c r="L29" s="66">
        <f t="shared" si="2"/>
        <v>8.1449999999999996</v>
      </c>
      <c r="M29" s="66">
        <f t="shared" si="3"/>
        <v>10.234436639151999</v>
      </c>
      <c r="N29" s="66">
        <f t="shared" si="4"/>
        <v>11.199999999999989</v>
      </c>
      <c r="O29" s="66">
        <f t="shared" si="5"/>
        <v>6.8726400000000014</v>
      </c>
      <c r="P29" s="66">
        <f t="shared" si="6"/>
        <v>0.31291200000000002</v>
      </c>
      <c r="Q29" s="67">
        <f t="shared" si="7"/>
        <v>610</v>
      </c>
      <c r="R29" s="65"/>
    </row>
    <row r="30" spans="1:18" ht="20.100000000000001" customHeight="1">
      <c r="A30" s="25">
        <f>[53]일반사항!$B$4</f>
        <v>44343</v>
      </c>
      <c r="B30" s="58">
        <f>[53]일반사항!$E$27</f>
        <v>6.8250000000000002</v>
      </c>
      <c r="C30" s="51">
        <f>[53]실험기록부!$C$10</f>
        <v>8.1000000000000014</v>
      </c>
      <c r="D30" s="52">
        <f>[53]실험기록부!$D$10</f>
        <v>12.419086875626</v>
      </c>
      <c r="E30" s="53">
        <f>[53]실험기록부!$E$10</f>
        <v>10.800000000000011</v>
      </c>
      <c r="F30" s="48">
        <f>[53]실험기록부!$F$10</f>
        <v>8.5579200000000011</v>
      </c>
      <c r="G30" s="48">
        <f>[53]실험기록부!$G$10</f>
        <v>0.38553599999999993</v>
      </c>
      <c r="H30" s="47">
        <f>[53]실험기록부!$H$10</f>
        <v>710</v>
      </c>
      <c r="I30" s="27"/>
      <c r="K30" s="65">
        <f t="shared" si="1"/>
        <v>6.8250000000000002</v>
      </c>
      <c r="L30" s="66">
        <f t="shared" si="2"/>
        <v>8.1000000000000014</v>
      </c>
      <c r="M30" s="66">
        <f t="shared" si="3"/>
        <v>12.419086875626</v>
      </c>
      <c r="N30" s="66">
        <f t="shared" si="4"/>
        <v>10.800000000000011</v>
      </c>
      <c r="O30" s="66">
        <f t="shared" si="5"/>
        <v>8.5579200000000011</v>
      </c>
      <c r="P30" s="66">
        <f t="shared" si="6"/>
        <v>0.38553599999999993</v>
      </c>
      <c r="Q30" s="67">
        <f t="shared" si="7"/>
        <v>710</v>
      </c>
      <c r="R30" s="65"/>
    </row>
    <row r="31" spans="1:18" ht="20.100000000000001" customHeight="1">
      <c r="A31" s="25">
        <f>[55]일반사항!$B$4</f>
        <v>44344</v>
      </c>
      <c r="B31" s="58">
        <f>[55]일반사항!$E$27</f>
        <v>6.8049999999999997</v>
      </c>
      <c r="C31" s="51">
        <f>[55]실험기록부!$C$10</f>
        <v>7.9799999999999986</v>
      </c>
      <c r="D31" s="52">
        <f>[55]실험기록부!$D$10</f>
        <v>0</v>
      </c>
      <c r="E31" s="53">
        <f>[55]실험기록부!$E$10</f>
        <v>13.200000000000045</v>
      </c>
      <c r="F31" s="48">
        <f>[55]실험기록부!$F$10</f>
        <v>8.0942399999999992</v>
      </c>
      <c r="G31" s="48">
        <f>[55]실험기록부!$G$10</f>
        <v>0.36494400000000005</v>
      </c>
      <c r="H31" s="47">
        <f>[55]실험기록부!$H$10</f>
        <v>610</v>
      </c>
      <c r="I31" s="27"/>
      <c r="K31" s="65">
        <f t="shared" si="1"/>
        <v>6.8049999999999997</v>
      </c>
      <c r="L31" s="66">
        <f t="shared" si="2"/>
        <v>7.9799999999999986</v>
      </c>
      <c r="M31" s="66" t="str">
        <f t="shared" si="3"/>
        <v/>
      </c>
      <c r="N31" s="66">
        <f t="shared" si="4"/>
        <v>13.200000000000045</v>
      </c>
      <c r="O31" s="66">
        <f t="shared" si="5"/>
        <v>8.0942399999999992</v>
      </c>
      <c r="P31" s="66">
        <f t="shared" si="6"/>
        <v>0.36494400000000005</v>
      </c>
      <c r="Q31" s="67">
        <f t="shared" si="7"/>
        <v>610</v>
      </c>
      <c r="R31" s="65"/>
    </row>
    <row r="32" spans="1:18" ht="20.100000000000001" customHeight="1">
      <c r="A32" s="25">
        <f>[57]일반사항!$B$4</f>
        <v>44345</v>
      </c>
      <c r="B32" s="58">
        <f>[57]일반사항!$E$27</f>
        <v>0</v>
      </c>
      <c r="C32" s="51">
        <f>[57]실험기록부!$C$10</f>
        <v>0</v>
      </c>
      <c r="D32" s="52">
        <f>[57]실험기록부!$D$10</f>
        <v>0</v>
      </c>
      <c r="E32" s="53">
        <f>[57]실험기록부!$E$10</f>
        <v>0</v>
      </c>
      <c r="F32" s="48">
        <f>[57]실험기록부!$F$10</f>
        <v>0</v>
      </c>
      <c r="G32" s="48">
        <f>[57]실험기록부!$G$10</f>
        <v>0</v>
      </c>
      <c r="H32" s="47">
        <f>[57]실험기록부!$H$10</f>
        <v>0</v>
      </c>
      <c r="I32" s="27"/>
      <c r="K32" s="65" t="str">
        <f t="shared" si="1"/>
        <v/>
      </c>
      <c r="L32" s="66" t="str">
        <f t="shared" si="2"/>
        <v/>
      </c>
      <c r="M32" s="66" t="str">
        <f t="shared" si="3"/>
        <v/>
      </c>
      <c r="N32" s="66" t="str">
        <f t="shared" si="4"/>
        <v/>
      </c>
      <c r="O32" s="66" t="str">
        <f t="shared" si="5"/>
        <v/>
      </c>
      <c r="P32" s="66" t="str">
        <f t="shared" si="6"/>
        <v/>
      </c>
      <c r="Q32" s="67" t="str">
        <f t="shared" si="7"/>
        <v/>
      </c>
      <c r="R32" s="65"/>
    </row>
    <row r="33" spans="1:18" ht="20.100000000000001" customHeight="1">
      <c r="A33" s="25">
        <f>[59]일반사항!$B$4</f>
        <v>44346</v>
      </c>
      <c r="B33" s="58">
        <f>[59]일반사항!$E$27</f>
        <v>0</v>
      </c>
      <c r="C33" s="51">
        <f>[59]실험기록부!$C$10</f>
        <v>0</v>
      </c>
      <c r="D33" s="52">
        <f>[59]실험기록부!$D$10</f>
        <v>0</v>
      </c>
      <c r="E33" s="53">
        <f>[59]실험기록부!$E$10</f>
        <v>0</v>
      </c>
      <c r="F33" s="48">
        <f>[59]실험기록부!$F$10</f>
        <v>0</v>
      </c>
      <c r="G33" s="48">
        <f>[59]실험기록부!$G$10</f>
        <v>0</v>
      </c>
      <c r="H33" s="47">
        <f>[59]실험기록부!$H$10</f>
        <v>0</v>
      </c>
      <c r="I33" s="27"/>
      <c r="K33" s="65" t="str">
        <f t="shared" si="1"/>
        <v/>
      </c>
      <c r="L33" s="66" t="str">
        <f t="shared" si="2"/>
        <v/>
      </c>
      <c r="M33" s="66" t="str">
        <f t="shared" si="3"/>
        <v/>
      </c>
      <c r="N33" s="66" t="str">
        <f t="shared" si="4"/>
        <v/>
      </c>
      <c r="O33" s="66" t="str">
        <f t="shared" si="5"/>
        <v/>
      </c>
      <c r="P33" s="66" t="str">
        <f t="shared" si="6"/>
        <v/>
      </c>
      <c r="Q33" s="67" t="str">
        <f t="shared" si="7"/>
        <v/>
      </c>
      <c r="R33" s="65"/>
    </row>
    <row r="34" spans="1:18" ht="20.100000000000001" customHeight="1" thickBot="1">
      <c r="A34" s="28">
        <f>[61]일반사항!$B$4</f>
        <v>44347</v>
      </c>
      <c r="B34" s="59">
        <f>[61]일반사항!$E$27</f>
        <v>6.8049999999999997</v>
      </c>
      <c r="C34" s="54">
        <f>[61]실험기록부!$C$10</f>
        <v>6.8849999999999998</v>
      </c>
      <c r="D34" s="55">
        <f>[61]실험기록부!$D$10</f>
        <v>6.7232585307560004</v>
      </c>
      <c r="E34" s="56">
        <f>[61]실험기록부!$E$10</f>
        <v>12.800000000000011</v>
      </c>
      <c r="F34" s="49">
        <f>[61]실험기록부!$F$10</f>
        <v>8.81616</v>
      </c>
      <c r="G34" s="49">
        <f>[61]실험기록부!$G$10</f>
        <v>0.21883200000000003</v>
      </c>
      <c r="H34" s="50">
        <f>[61]실험기록부!$H$10</f>
        <v>610</v>
      </c>
      <c r="I34" s="34"/>
      <c r="K34" s="68">
        <f t="shared" si="1"/>
        <v>6.8049999999999997</v>
      </c>
      <c r="L34" s="69">
        <f t="shared" si="2"/>
        <v>6.8849999999999998</v>
      </c>
      <c r="M34" s="69">
        <f t="shared" si="3"/>
        <v>6.7232585307560004</v>
      </c>
      <c r="N34" s="69">
        <f t="shared" si="4"/>
        <v>12.800000000000011</v>
      </c>
      <c r="O34" s="69">
        <f t="shared" si="5"/>
        <v>8.81616</v>
      </c>
      <c r="P34" s="69">
        <f t="shared" si="6"/>
        <v>0.21883200000000003</v>
      </c>
      <c r="Q34" s="70">
        <f t="shared" si="7"/>
        <v>610</v>
      </c>
      <c r="R34" s="65"/>
    </row>
    <row r="35" spans="1:18" ht="20.100000000000001" customHeight="1" thickTop="1">
      <c r="A35" s="15" t="s">
        <v>0</v>
      </c>
      <c r="B35" s="71">
        <f>MAX(B4:B34)</f>
        <v>6.8449999999999998</v>
      </c>
      <c r="C35" s="72">
        <f t="shared" ref="C35:H35" si="9">MAX(C4:C34)</f>
        <v>9.18</v>
      </c>
      <c r="D35" s="72">
        <f t="shared" si="9"/>
        <v>21.486201496122</v>
      </c>
      <c r="E35" s="72">
        <f t="shared" si="9"/>
        <v>13.200000000000045</v>
      </c>
      <c r="F35" s="73">
        <f t="shared" si="9"/>
        <v>12.508800000000001</v>
      </c>
      <c r="G35" s="73">
        <f t="shared" si="9"/>
        <v>0.59904000000000002</v>
      </c>
      <c r="H35" s="74">
        <f t="shared" si="9"/>
        <v>720</v>
      </c>
      <c r="I35" s="90"/>
    </row>
    <row r="36" spans="1:18" ht="20.100000000000001" customHeight="1">
      <c r="A36" s="1" t="s">
        <v>1</v>
      </c>
      <c r="B36" s="75">
        <f>MIN(K4:K34)</f>
        <v>6.7750000000000004</v>
      </c>
      <c r="C36" s="76">
        <f t="shared" ref="C36:H36" si="10">MIN(L4:L34)</f>
        <v>6.4799999999999986</v>
      </c>
      <c r="D36" s="76">
        <f t="shared" si="10"/>
        <v>6.7232585307560004</v>
      </c>
      <c r="E36" s="76">
        <f t="shared" si="10"/>
        <v>7.599999999999965</v>
      </c>
      <c r="F36" s="77">
        <f t="shared" si="10"/>
        <v>6.08352</v>
      </c>
      <c r="G36" s="77">
        <f t="shared" si="10"/>
        <v>0.21883200000000003</v>
      </c>
      <c r="H36" s="47">
        <f t="shared" si="10"/>
        <v>610</v>
      </c>
      <c r="I36" s="82"/>
    </row>
    <row r="37" spans="1:18" ht="20.100000000000001" customHeight="1" thickBot="1">
      <c r="A37" s="2" t="s">
        <v>2</v>
      </c>
      <c r="B37" s="78">
        <f>AVERAGEIF(B4:B34,"&gt;0")</f>
        <v>6.8078947368421066</v>
      </c>
      <c r="C37" s="79">
        <f t="shared" ref="C37:H37" si="11">AVERAGEIF(C4:C34,"&gt;0")</f>
        <v>7.9444736842105241</v>
      </c>
      <c r="D37" s="79">
        <f t="shared" si="11"/>
        <v>14.540539753761863</v>
      </c>
      <c r="E37" s="79">
        <f t="shared" si="11"/>
        <v>11.07368421052632</v>
      </c>
      <c r="F37" s="80">
        <f t="shared" si="11"/>
        <v>8.9121852631578946</v>
      </c>
      <c r="G37" s="80">
        <f t="shared" si="11"/>
        <v>0.38588968421052633</v>
      </c>
      <c r="H37" s="81">
        <f t="shared" si="11"/>
        <v>636.31578947368416</v>
      </c>
      <c r="I37" s="83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tabSelected="1" view="pageBreakPreview" zoomScaleSheetLayoutView="100" workbookViewId="0">
      <pane xSplit="1" ySplit="3" topLeftCell="B13" activePane="bottomRight" state="frozen"/>
      <selection activeCell="D50" sqref="D50"/>
      <selection pane="topRight" activeCell="D50" sqref="D50"/>
      <selection pane="bottomLeft" activeCell="D50" sqref="D50"/>
      <selection pane="bottomRight" activeCell="B36" sqref="B36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09" t="s">
        <v>26</v>
      </c>
      <c r="B1" s="109"/>
      <c r="C1" s="109"/>
      <c r="D1" s="109"/>
      <c r="E1" s="109"/>
      <c r="F1" s="109"/>
      <c r="G1" s="109"/>
      <c r="H1" s="109"/>
      <c r="I1" s="109"/>
    </row>
    <row r="2" spans="1:10" ht="20.100000000000001" customHeight="1">
      <c r="A2" s="104" t="s">
        <v>14</v>
      </c>
      <c r="B2" s="106" t="s">
        <v>10</v>
      </c>
      <c r="C2" s="107"/>
      <c r="D2" s="107"/>
      <c r="E2" s="107"/>
      <c r="F2" s="107"/>
      <c r="G2" s="107"/>
      <c r="H2" s="107"/>
      <c r="I2" s="108"/>
    </row>
    <row r="3" spans="1:10" ht="24.95" customHeight="1" thickBot="1">
      <c r="A3" s="105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44317</v>
      </c>
      <c r="B4" s="91">
        <f>[1]일반사항!$E$28</f>
        <v>6.6550000000000002</v>
      </c>
      <c r="C4" s="92">
        <f>[1]실험기록부!$C$11</f>
        <v>1.0600000000000005</v>
      </c>
      <c r="D4" s="93">
        <f>[1]실험기록부!$D$11</f>
        <v>5.7111863923200001</v>
      </c>
      <c r="E4" s="22">
        <f>[1]실험기록부!$E$11</f>
        <v>2.6666666666666572</v>
      </c>
      <c r="F4" s="23">
        <f>[1]실험기록부!$F$11</f>
        <v>6.5129999999999999</v>
      </c>
      <c r="G4" s="23">
        <f>[1]실험기록부!$G$11</f>
        <v>7.2999999999999995E-2</v>
      </c>
      <c r="H4" s="24">
        <f>[1]실험기록부!$H$11</f>
        <v>1</v>
      </c>
      <c r="I4" s="26">
        <f>[2]커버3!$G$13</f>
        <v>477</v>
      </c>
      <c r="J4" s="99">
        <f>[1]일반사항!$D$28</f>
        <v>18.850000000000001</v>
      </c>
    </row>
    <row r="5" spans="1:10" ht="20.100000000000001" customHeight="1">
      <c r="A5" s="25">
        <f>[3]일반사항!$B$4</f>
        <v>44318</v>
      </c>
      <c r="B5" s="16">
        <f>[3]일반사항!$E$28</f>
        <v>6.665</v>
      </c>
      <c r="C5" s="45">
        <f>[3]실험기록부!$C$11</f>
        <v>1.1600000000000001</v>
      </c>
      <c r="D5" s="17">
        <f>[3]실험기록부!$D$11</f>
        <v>5.4459064128000003</v>
      </c>
      <c r="E5" s="18">
        <f>[3]실험기록부!$E$11</f>
        <v>3.1999999999999886</v>
      </c>
      <c r="F5" s="19">
        <f>[3]실험기록부!$F$11</f>
        <v>6.2679999999999998</v>
      </c>
      <c r="G5" s="19">
        <f>[3]실험기록부!$G$11</f>
        <v>7.4999999999999997E-2</v>
      </c>
      <c r="H5" s="20">
        <f>[3]실험기록부!$H$11</f>
        <v>2</v>
      </c>
      <c r="I5" s="27">
        <f>[4]커버3!$G$13</f>
        <v>646</v>
      </c>
      <c r="J5" s="99">
        <f>[3]일반사항!$D$28</f>
        <v>19</v>
      </c>
    </row>
    <row r="6" spans="1:10" ht="20.100000000000001" customHeight="1">
      <c r="A6" s="25">
        <f>[5]일반사항!$B$4</f>
        <v>44319</v>
      </c>
      <c r="B6" s="16">
        <f>[5]일반사항!$E$28</f>
        <v>6.6550000000000002</v>
      </c>
      <c r="C6" s="45">
        <f>[5]실험기록부!$C$11</f>
        <v>0.96999999999999886</v>
      </c>
      <c r="D6" s="17">
        <f>[5]실험기록부!$D$11</f>
        <v>5.9088940454400003</v>
      </c>
      <c r="E6" s="18">
        <f>[5]실험기록부!$E$11</f>
        <v>2.6000000000000227</v>
      </c>
      <c r="F6" s="19">
        <f>[5]실험기록부!$F$11</f>
        <v>7.548</v>
      </c>
      <c r="G6" s="19">
        <f>[5]실험기록부!$G$11</f>
        <v>3.3360000000000001E-2</v>
      </c>
      <c r="H6" s="20">
        <f>[5]실험기록부!$H$11</f>
        <v>2.5</v>
      </c>
      <c r="I6" s="27">
        <f>[6]커버3!$G$13</f>
        <v>512</v>
      </c>
      <c r="J6" s="99">
        <f>[5]일반사항!$D$28</f>
        <v>18.95</v>
      </c>
    </row>
    <row r="7" spans="1:10" ht="20.100000000000001" customHeight="1">
      <c r="A7" s="25">
        <f>[7]일반사항!$B$4</f>
        <v>44320</v>
      </c>
      <c r="B7" s="16">
        <f>[7]일반사항!$E$28</f>
        <v>6.665</v>
      </c>
      <c r="C7" s="45">
        <f>[7]실험기록부!$C$11</f>
        <v>0.86999999999999922</v>
      </c>
      <c r="D7" s="17">
        <f>[7]실험기록부!$D$11</f>
        <v>5.6697589977599998</v>
      </c>
      <c r="E7" s="18">
        <f>[7]실험기록부!$E$11</f>
        <v>2.8000000000000114</v>
      </c>
      <c r="F7" s="19">
        <f>[7]실험기록부!$F$11</f>
        <v>7.2182399999999989</v>
      </c>
      <c r="G7" s="19">
        <f>[7]실험기록부!$G$11</f>
        <v>3.5279999999999999E-2</v>
      </c>
      <c r="H7" s="20">
        <f>[7]실험기록부!$H$11</f>
        <v>1.5</v>
      </c>
      <c r="I7" s="27">
        <f>[8]커버3!$G$13</f>
        <v>567</v>
      </c>
      <c r="J7" s="99">
        <f>[7]일반사항!$D$28</f>
        <v>18.8</v>
      </c>
    </row>
    <row r="8" spans="1:10" ht="20.100000000000001" customHeight="1">
      <c r="A8" s="25">
        <f>[9]일반사항!$B$4</f>
        <v>44321</v>
      </c>
      <c r="B8" s="16">
        <f>[9]일반사항!$E$28</f>
        <v>6.6550000000000002</v>
      </c>
      <c r="C8" s="45">
        <f>[9]실험기록부!$C$11</f>
        <v>1.2599999999999998</v>
      </c>
      <c r="D8" s="17">
        <f>[9]실험기록부!$D$11</f>
        <v>5.3578060391360003</v>
      </c>
      <c r="E8" s="18">
        <f>[9]실험기록부!$E$11</f>
        <v>2.2000000000000175</v>
      </c>
      <c r="F8" s="19">
        <f>[9]실험기록부!$F$11</f>
        <v>6.0430000000000001</v>
      </c>
      <c r="G8" s="19">
        <f>[9]실험기록부!$G$11</f>
        <v>4.8000000000000001E-2</v>
      </c>
      <c r="H8" s="20">
        <f>[9]실험기록부!$H$11</f>
        <v>1.5</v>
      </c>
      <c r="I8" s="27">
        <f>[10]커버3!$G$13</f>
        <v>532</v>
      </c>
      <c r="J8" s="99">
        <f>[9]일반사항!$D$28</f>
        <v>18.899999999999999</v>
      </c>
    </row>
    <row r="9" spans="1:10" ht="20.100000000000001" customHeight="1">
      <c r="A9" s="25">
        <f>[11]일반사항!$B$4</f>
        <v>44322</v>
      </c>
      <c r="B9" s="16">
        <f>[11]일반사항!$E$28</f>
        <v>6.6550000000000002</v>
      </c>
      <c r="C9" s="45">
        <f>[11]실험기록부!$C$11</f>
        <v>1.25</v>
      </c>
      <c r="D9" s="17">
        <f>[11]실험기록부!$D$11</f>
        <v>5.3771609860160003</v>
      </c>
      <c r="E9" s="18">
        <f>[11]실험기록부!$E$11</f>
        <v>3</v>
      </c>
      <c r="F9" s="19">
        <f>[11]실험기록부!$F$11</f>
        <v>7.359840000000001</v>
      </c>
      <c r="G9" s="19">
        <f>[11]실험기록부!$G$11</f>
        <v>5.0735999999999996E-2</v>
      </c>
      <c r="H9" s="20">
        <f>[11]실험기록부!$H$11</f>
        <v>2.5</v>
      </c>
      <c r="I9" s="27">
        <f>[12]커버3!$G$13</f>
        <v>526</v>
      </c>
      <c r="J9" s="99">
        <f>[11]일반사항!$D$28</f>
        <v>18.899999999999999</v>
      </c>
    </row>
    <row r="10" spans="1:10" ht="20.100000000000001" customHeight="1">
      <c r="A10" s="25">
        <f>[13]일반사항!$B$4</f>
        <v>44323</v>
      </c>
      <c r="B10" s="16">
        <f>[13]일반사항!$E$28</f>
        <v>6.7350000000000003</v>
      </c>
      <c r="C10" s="45">
        <f>[13]실험기록부!$C$11</f>
        <v>1.3200000000000003</v>
      </c>
      <c r="D10" s="17">
        <f>[13]실험기록부!$D$11</f>
        <v>6.2034465369339999</v>
      </c>
      <c r="E10" s="18">
        <f>[13]실험기록부!$E$11</f>
        <v>2.2000000000000175</v>
      </c>
      <c r="F10" s="19">
        <f>[13]실험기록부!$F$11</f>
        <v>7.5470400000000009</v>
      </c>
      <c r="G10" s="19">
        <f>[13]실험기록부!$G$11</f>
        <v>5.2080000000000008E-2</v>
      </c>
      <c r="H10" s="20">
        <f>[13]실험기록부!$H$11</f>
        <v>3</v>
      </c>
      <c r="I10" s="27">
        <f>[14]커버3!$G$13</f>
        <v>582</v>
      </c>
      <c r="J10" s="99">
        <f>[13]일반사항!$D$28</f>
        <v>18.850000000000001</v>
      </c>
    </row>
    <row r="11" spans="1:10" ht="20.100000000000001" customHeight="1">
      <c r="A11" s="25">
        <f>[15]일반사항!$B$4</f>
        <v>44324</v>
      </c>
      <c r="B11" s="16">
        <f>[15]일반사항!$E$28</f>
        <v>6.6550000000000002</v>
      </c>
      <c r="C11" s="45">
        <f>[15]실험기록부!$C$11</f>
        <v>0.99000000000000021</v>
      </c>
      <c r="D11" s="17">
        <f>[15]실험기록부!$D$11</f>
        <v>4.47539704227</v>
      </c>
      <c r="E11" s="18">
        <f>[15]실험기록부!$E$11</f>
        <v>2.8000000000000114</v>
      </c>
      <c r="F11" s="19">
        <f>[15]실험기록부!$F$11</f>
        <v>6.3710000000000004</v>
      </c>
      <c r="G11" s="19">
        <f>[15]실험기록부!$G$11</f>
        <v>9.4E-2</v>
      </c>
      <c r="H11" s="20">
        <f>[15]실험기록부!$H$11</f>
        <v>2.5</v>
      </c>
      <c r="I11" s="27">
        <f>[16]커버3!$G$13</f>
        <v>523</v>
      </c>
      <c r="J11" s="99">
        <f>[15]일반사항!$D$28</f>
        <v>18.95</v>
      </c>
    </row>
    <row r="12" spans="1:10" ht="20.100000000000001" customHeight="1">
      <c r="A12" s="25">
        <f>[17]일반사항!$B$4</f>
        <v>44325</v>
      </c>
      <c r="B12" s="16">
        <f>[17]일반사항!$E$28</f>
        <v>6.6550000000000002</v>
      </c>
      <c r="C12" s="45">
        <f>[17]실험기록부!$C$11</f>
        <v>1.1399999999999997</v>
      </c>
      <c r="D12" s="17">
        <f>[17]실험기록부!$D$11</f>
        <v>4.4424396182179997</v>
      </c>
      <c r="E12" s="18">
        <f>[17]실험기록부!$E$11</f>
        <v>3</v>
      </c>
      <c r="F12" s="19">
        <f>[17]실험기록부!$F$11</f>
        <v>6.407</v>
      </c>
      <c r="G12" s="19">
        <f>[17]실험기록부!$G$11</f>
        <v>6.4000000000000001E-2</v>
      </c>
      <c r="H12" s="20">
        <f>[17]실험기록부!$H$11</f>
        <v>1</v>
      </c>
      <c r="I12" s="27">
        <f>[18]커버3!$G$13</f>
        <v>528</v>
      </c>
      <c r="J12" s="99">
        <f>[17]일반사항!$D$28</f>
        <v>18.95</v>
      </c>
    </row>
    <row r="13" spans="1:10" ht="20.100000000000001" customHeight="1">
      <c r="A13" s="25">
        <f>[19]일반사항!$B$4</f>
        <v>44326</v>
      </c>
      <c r="B13" s="16">
        <f>[19]일반사항!$E$28</f>
        <v>6.6550000000000002</v>
      </c>
      <c r="C13" s="45">
        <f>[19]실험기록부!$C$11</f>
        <v>1.5199999999999996</v>
      </c>
      <c r="D13" s="17">
        <f>[19]실험기록부!$D$11</f>
        <v>4.7432746822340004</v>
      </c>
      <c r="E13" s="18">
        <f>[19]실험기록부!$E$11</f>
        <v>3</v>
      </c>
      <c r="F13" s="19">
        <f>[19]실험기록부!$F$11</f>
        <v>8.0284800000000001</v>
      </c>
      <c r="G13" s="19">
        <f>[19]실험기록부!$G$11</f>
        <v>5.3376E-2</v>
      </c>
      <c r="H13" s="20">
        <f>[19]실험기록부!$H$11</f>
        <v>2</v>
      </c>
      <c r="I13" s="27">
        <f>[20]커버3!$G$13</f>
        <v>763</v>
      </c>
      <c r="J13" s="99">
        <f>[19]일반사항!$D$28</f>
        <v>19.100000000000001</v>
      </c>
    </row>
    <row r="14" spans="1:10" ht="20.100000000000001" customHeight="1">
      <c r="A14" s="25">
        <f>[21]일반사항!$B$4</f>
        <v>44327</v>
      </c>
      <c r="B14" s="16">
        <f>[21]일반사항!$E$28</f>
        <v>6.6550000000000002</v>
      </c>
      <c r="C14" s="45">
        <f>[21]실험기록부!$C$11</f>
        <v>1.0599999999999996</v>
      </c>
      <c r="D14" s="17">
        <f>[21]실험기록부!$D$11</f>
        <v>4.7453629549540004</v>
      </c>
      <c r="E14" s="18">
        <f>[21]실험기록부!$E$11</f>
        <v>2.8000000000000114</v>
      </c>
      <c r="F14" s="19">
        <f>[21]실험기록부!$F$11</f>
        <v>8.5132799999999982</v>
      </c>
      <c r="G14" s="19">
        <f>[21]실험기록부!$G$11</f>
        <v>4.7472E-2</v>
      </c>
      <c r="H14" s="20">
        <f>[21]실험기록부!$H$11</f>
        <v>2</v>
      </c>
      <c r="I14" s="27">
        <f>[22]커버3!$G$13</f>
        <v>654</v>
      </c>
      <c r="J14" s="99">
        <f>[21]일반사항!$D$28</f>
        <v>18.95</v>
      </c>
    </row>
    <row r="15" spans="1:10" ht="20.100000000000001" customHeight="1">
      <c r="A15" s="25">
        <f>[23]일반사항!$B$4</f>
        <v>44328</v>
      </c>
      <c r="B15" s="16">
        <f>[23]일반사항!$E$28</f>
        <v>6.6550000000000002</v>
      </c>
      <c r="C15" s="45">
        <f>[23]실험기록부!$C$11</f>
        <v>1.4200000000000008</v>
      </c>
      <c r="D15" s="17">
        <f>[23]실험기록부!$D$11</f>
        <v>4.680091178234</v>
      </c>
      <c r="E15" s="18">
        <f>[23]실험기록부!$E$11</f>
        <v>3</v>
      </c>
      <c r="F15" s="19">
        <f>[23]실험기록부!$F$11</f>
        <v>7.3588799999999992</v>
      </c>
      <c r="G15" s="19">
        <f>[23]실험기록부!$G$11</f>
        <v>6.0816000000000002E-2</v>
      </c>
      <c r="H15" s="20">
        <f>[23]실험기록부!$H$11</f>
        <v>2.5</v>
      </c>
      <c r="I15" s="27">
        <f>[24]커버3!$G$13</f>
        <v>538</v>
      </c>
      <c r="J15" s="99">
        <f>[23]일반사항!$D$28</f>
        <v>19.149999999999999</v>
      </c>
    </row>
    <row r="16" spans="1:10" ht="20.100000000000001" customHeight="1">
      <c r="A16" s="25">
        <f>[25]일반사항!$B$4</f>
        <v>44329</v>
      </c>
      <c r="B16" s="16">
        <f>[25]일반사항!$E$28</f>
        <v>6.665</v>
      </c>
      <c r="C16" s="45">
        <f>[25]실험기록부!$C$11</f>
        <v>1.5000000000000009</v>
      </c>
      <c r="D16" s="17">
        <f>[25]실험기록부!$D$11</f>
        <v>5.0847003206999997</v>
      </c>
      <c r="E16" s="18">
        <f>[25]실험기록부!$E$11</f>
        <v>2.8000000000000114</v>
      </c>
      <c r="F16" s="19">
        <f>[25]실험기록부!$F$11</f>
        <v>6.9340799999999989</v>
      </c>
      <c r="G16" s="19">
        <f>[25]실험기록부!$G$11</f>
        <v>7.1760000000000004E-2</v>
      </c>
      <c r="H16" s="20">
        <f>[25]실험기록부!$H$11</f>
        <v>3</v>
      </c>
      <c r="I16" s="27">
        <f>[26]커버3!$G$13</f>
        <v>530</v>
      </c>
      <c r="J16" s="99">
        <f>[25]일반사항!$D$28</f>
        <v>19.05</v>
      </c>
    </row>
    <row r="17" spans="1:10" ht="20.100000000000001" customHeight="1">
      <c r="A17" s="25">
        <f>[27]일반사항!$B$4</f>
        <v>44330</v>
      </c>
      <c r="B17" s="16">
        <f>[27]일반사항!$E$28</f>
        <v>6.6550000000000002</v>
      </c>
      <c r="C17" s="45">
        <f>[27]실험기록부!$C$11</f>
        <v>1.3999999999999995</v>
      </c>
      <c r="D17" s="17">
        <f>[27]실험기록부!$D$11</f>
        <v>5.7070012033420001</v>
      </c>
      <c r="E17" s="18">
        <f>[27]실험기록부!$E$11</f>
        <v>3.2000000000000175</v>
      </c>
      <c r="F17" s="19">
        <f>[27]실험기록부!$F$11</f>
        <v>6.8755199999999999</v>
      </c>
      <c r="G17" s="19">
        <f>[27]실험기록부!$G$11</f>
        <v>7.6895999999999992E-2</v>
      </c>
      <c r="H17" s="20">
        <f>[27]실험기록부!$H$11</f>
        <v>1.5</v>
      </c>
      <c r="I17" s="27">
        <f>[28]커버3!$G$13</f>
        <v>530</v>
      </c>
      <c r="J17" s="99">
        <f>[27]일반사항!$D$28</f>
        <v>19.3</v>
      </c>
    </row>
    <row r="18" spans="1:10" ht="20.100000000000001" customHeight="1">
      <c r="A18" s="25">
        <f>[29]일반사항!$B$4</f>
        <v>44331</v>
      </c>
      <c r="B18" s="16">
        <f>[29]일반사항!$E$28</f>
        <v>6.66</v>
      </c>
      <c r="C18" s="45">
        <f>[29]실험기록부!$C$11</f>
        <v>1.4899999999999993</v>
      </c>
      <c r="D18" s="17">
        <f>[29]실험기록부!$D$11</f>
        <v>4.4276731363020003</v>
      </c>
      <c r="E18" s="18">
        <f>[29]실험기록부!$E$11</f>
        <v>2.4</v>
      </c>
      <c r="F18" s="19">
        <f>[29]실험기록부!$F$11</f>
        <v>6.02</v>
      </c>
      <c r="G18" s="19">
        <f>[29]실험기록부!$G$11</f>
        <v>0.112</v>
      </c>
      <c r="H18" s="20">
        <f>[29]실험기록부!$H$11</f>
        <v>2.5</v>
      </c>
      <c r="I18" s="27">
        <f>[30]커버3!$G$13</f>
        <v>565</v>
      </c>
      <c r="J18" s="99">
        <f>[29]일반사항!$D$28</f>
        <v>18.899999999999999</v>
      </c>
    </row>
    <row r="19" spans="1:10" ht="20.100000000000001" customHeight="1">
      <c r="A19" s="25">
        <f>[31]일반사항!$B$4</f>
        <v>44332</v>
      </c>
      <c r="B19" s="16">
        <f>[31]일반사항!$E$28</f>
        <v>6.665</v>
      </c>
      <c r="C19" s="45">
        <f>[31]실험기록부!$C$11</f>
        <v>1.3900000000000006</v>
      </c>
      <c r="D19" s="17">
        <f>[31]실험기록부!$D$11</f>
        <v>4.5244216556100003</v>
      </c>
      <c r="E19" s="18">
        <f>[31]실험기록부!$E$11</f>
        <v>2</v>
      </c>
      <c r="F19" s="19">
        <f>[31]실험기록부!$F$11</f>
        <v>6.4619999999999997</v>
      </c>
      <c r="G19" s="19">
        <f>[31]실험기록부!$G$11</f>
        <v>8.2512000000000002E-2</v>
      </c>
      <c r="H19" s="20">
        <f>[31]실험기록부!$H$11</f>
        <v>2.5</v>
      </c>
      <c r="I19" s="27">
        <f>[32]커버3!$G$13</f>
        <v>893</v>
      </c>
      <c r="J19" s="99">
        <f>[31]일반사항!$D$28</f>
        <v>18.850000000000001</v>
      </c>
    </row>
    <row r="20" spans="1:10" ht="20.100000000000001" customHeight="1">
      <c r="A20" s="25">
        <f>[33]일반사항!$B$4</f>
        <v>44333</v>
      </c>
      <c r="B20" s="16">
        <f>[33]일반사항!$E$28</f>
        <v>6.665</v>
      </c>
      <c r="C20" s="45">
        <f>[33]실험기록부!$C$11</f>
        <v>1.1200000000000001</v>
      </c>
      <c r="D20" s="17">
        <f>[33]실험기록부!$D$11</f>
        <v>5.1185742056460004</v>
      </c>
      <c r="E20" s="18">
        <f>[33]실험기록부!$E$11</f>
        <v>2.8000000000000114</v>
      </c>
      <c r="F20" s="19">
        <f>[33]실험기록부!$F$11</f>
        <v>6.9071999999999987</v>
      </c>
      <c r="G20" s="19">
        <f>[33]실험기록부!$G$11</f>
        <v>4.3247999999999995E-2</v>
      </c>
      <c r="H20" s="20">
        <f>[33]실험기록부!$H$11</f>
        <v>2.5</v>
      </c>
      <c r="I20" s="27">
        <f>[34]커버3!$G$13</f>
        <v>1025</v>
      </c>
      <c r="J20" s="99">
        <f>[33]일반사항!$D$28</f>
        <v>19</v>
      </c>
    </row>
    <row r="21" spans="1:10" ht="20.100000000000001" customHeight="1">
      <c r="A21" s="25">
        <f>[35]일반사항!$B$4</f>
        <v>44334</v>
      </c>
      <c r="B21" s="16">
        <f>[35]일반사항!$E$28</f>
        <v>6.665</v>
      </c>
      <c r="C21" s="45">
        <f>[35]실험기록부!$C$11</f>
        <v>1.2900000000000009</v>
      </c>
      <c r="D21" s="17">
        <f>[35]실험기록부!$D$11</f>
        <v>4.8260251115479997</v>
      </c>
      <c r="E21" s="18">
        <f>[35]실험기록부!$E$11</f>
        <v>3</v>
      </c>
      <c r="F21" s="19">
        <f>[35]실험기록부!$F$11</f>
        <v>6.7737600000000002</v>
      </c>
      <c r="G21" s="19">
        <f>[35]실험기록부!$G$11</f>
        <v>4.4063999999999999E-2</v>
      </c>
      <c r="H21" s="20">
        <f>[35]실험기록부!$H$11</f>
        <v>2.5</v>
      </c>
      <c r="I21" s="27">
        <f>[36]커버3!$G$13</f>
        <v>728</v>
      </c>
      <c r="J21" s="99">
        <f>[35]일반사항!$D$28</f>
        <v>19.850000000000001</v>
      </c>
    </row>
    <row r="22" spans="1:10" ht="20.100000000000001" customHeight="1">
      <c r="A22" s="25">
        <f>[37]일반사항!$B$4</f>
        <v>44335</v>
      </c>
      <c r="B22" s="16">
        <f>[37]일반사항!$E$28</f>
        <v>6.6550000000000002</v>
      </c>
      <c r="C22" s="45">
        <f>[37]실험기록부!$C$11</f>
        <v>1.25</v>
      </c>
      <c r="D22" s="17">
        <f>[37]실험기록부!$D$11</f>
        <v>4.8982300635560003</v>
      </c>
      <c r="E22" s="18">
        <f>[37]실험기록부!$E$11</f>
        <v>2.5999999999999948</v>
      </c>
      <c r="F22" s="19">
        <f>[37]실험기록부!$F$11</f>
        <v>6.61</v>
      </c>
      <c r="G22" s="19">
        <f>[37]실험기록부!$G$11</f>
        <v>0.125</v>
      </c>
      <c r="H22" s="20">
        <f>[37]실험기록부!$H$11</f>
        <v>2.5</v>
      </c>
      <c r="I22" s="27">
        <f>[38]커버3!$G$13</f>
        <v>694</v>
      </c>
      <c r="J22" s="99">
        <f>[37]일반사항!$D$28</f>
        <v>19.850000000000001</v>
      </c>
    </row>
    <row r="23" spans="1:10" ht="20.100000000000001" customHeight="1">
      <c r="A23" s="25">
        <f>[39]일반사항!$B$4</f>
        <v>44336</v>
      </c>
      <c r="B23" s="16">
        <f>[39]일반사항!$E$28</f>
        <v>6.67</v>
      </c>
      <c r="C23" s="45">
        <f>[39]실험기록부!$C$11</f>
        <v>1.2799999999999994</v>
      </c>
      <c r="D23" s="17">
        <f>[39]실험기록부!$D$11</f>
        <v>4.2059730545280001</v>
      </c>
      <c r="E23" s="18">
        <f>[39]실험기록부!$E$11</f>
        <v>2.5999999999999948</v>
      </c>
      <c r="F23" s="19">
        <f>[39]실험기록부!$F$11</f>
        <v>7.9224000000000006</v>
      </c>
      <c r="G23" s="19">
        <f>[39]실험기록부!$G$11</f>
        <v>5.7504E-2</v>
      </c>
      <c r="H23" s="20">
        <f>[39]실험기록부!$H$11</f>
        <v>2.5</v>
      </c>
      <c r="I23" s="27">
        <f>[40]커버3!$G$13</f>
        <v>821</v>
      </c>
      <c r="J23" s="99">
        <f>[39]일반사항!$D$28</f>
        <v>19.95</v>
      </c>
    </row>
    <row r="24" spans="1:10" ht="20.100000000000001" customHeight="1">
      <c r="A24" s="25">
        <f>[41]일반사항!$B$4</f>
        <v>44337</v>
      </c>
      <c r="B24" s="16">
        <f>[41]일반사항!$E$28</f>
        <v>6.6850000000000005</v>
      </c>
      <c r="C24" s="45">
        <f>[41]실험기록부!$C$11</f>
        <v>1.4900000000000002</v>
      </c>
      <c r="D24" s="17">
        <f>[41]실험기록부!$D$11</f>
        <v>5.3044579388560003</v>
      </c>
      <c r="E24" s="18">
        <f>[41]실험기록부!$E$11</f>
        <v>2.6000000000000227</v>
      </c>
      <c r="F24" s="19">
        <f>[41]실험기록부!$F$11</f>
        <v>7.7942399999999994</v>
      </c>
      <c r="G24" s="19">
        <f>[41]실험기록부!$G$11</f>
        <v>5.0688000000000004E-2</v>
      </c>
      <c r="H24" s="20">
        <f>[41]실험기록부!$H$11</f>
        <v>2.5</v>
      </c>
      <c r="I24" s="27">
        <f>[42]커버3!$G$13</f>
        <v>689</v>
      </c>
      <c r="J24" s="99">
        <f>[41]일반사항!$D$28</f>
        <v>20.6</v>
      </c>
    </row>
    <row r="25" spans="1:10" ht="20.100000000000001" customHeight="1">
      <c r="A25" s="25">
        <f>[43]일반사항!$B$4</f>
        <v>44338</v>
      </c>
      <c r="B25" s="16">
        <f>[43]일반사항!$E$28</f>
        <v>6.665</v>
      </c>
      <c r="C25" s="45">
        <f>[43]실험기록부!$C$11</f>
        <v>0.95999999999999908</v>
      </c>
      <c r="D25" s="17">
        <f>[43]실험기록부!$D$11</f>
        <v>4.4263211137320004</v>
      </c>
      <c r="E25" s="18">
        <f>[43]실험기록부!$E$11</f>
        <v>1.9</v>
      </c>
      <c r="F25" s="19">
        <f>[43]실험기록부!$F$11</f>
        <v>7.3849999999999998</v>
      </c>
      <c r="G25" s="19">
        <f>[43]실험기록부!$G$11</f>
        <v>0.158</v>
      </c>
      <c r="H25" s="20">
        <f>[43]실험기록부!$H$11</f>
        <v>2</v>
      </c>
      <c r="I25" s="27">
        <f>[44]커버3!$G$13</f>
        <v>644</v>
      </c>
      <c r="J25" s="99">
        <f>[43]일반사항!$D$28</f>
        <v>19.899999999999999</v>
      </c>
    </row>
    <row r="26" spans="1:10" ht="20.100000000000001" customHeight="1">
      <c r="A26" s="25">
        <f>[45]일반사항!$B$4</f>
        <v>44339</v>
      </c>
      <c r="B26" s="16">
        <f>[45]일반사항!$E$28</f>
        <v>6.67</v>
      </c>
      <c r="C26" s="45">
        <f>[45]실험기록부!$C$11</f>
        <v>1.3000000000000007</v>
      </c>
      <c r="D26" s="17">
        <f>[45]실험기록부!$D$11</f>
        <v>4.4934552475520002</v>
      </c>
      <c r="E26" s="18">
        <f>[45]실험기록부!$E$11</f>
        <v>1.8</v>
      </c>
      <c r="F26" s="19">
        <f>[45]실험기록부!$F$11</f>
        <v>6.6829999999999998</v>
      </c>
      <c r="G26" s="19">
        <f>[45]실험기록부!$G$11</f>
        <v>9.8000000000000004E-2</v>
      </c>
      <c r="H26" s="20">
        <f>[45]실험기록부!$H$11</f>
        <v>2</v>
      </c>
      <c r="I26" s="27">
        <f>[46]커버3!$G$13</f>
        <v>641</v>
      </c>
      <c r="J26" s="99">
        <f>[45]일반사항!$D$28</f>
        <v>19.899999999999999</v>
      </c>
    </row>
    <row r="27" spans="1:10" ht="20.100000000000001" customHeight="1">
      <c r="A27" s="25">
        <f>[47]일반사항!$B$4</f>
        <v>44340</v>
      </c>
      <c r="B27" s="16">
        <f>[47]일반사항!$E$28</f>
        <v>6.665</v>
      </c>
      <c r="C27" s="45">
        <f>[47]실험기록부!$C$11</f>
        <v>1.5000000000000009</v>
      </c>
      <c r="D27" s="17">
        <f>[47]실험기록부!$D$11</f>
        <v>5.4281635831520001</v>
      </c>
      <c r="E27" s="18">
        <f>[47]실험기록부!$E$11</f>
        <v>2.4000000000000052</v>
      </c>
      <c r="F27" s="19">
        <f>[47]실험기록부!$F$11</f>
        <v>4.98048</v>
      </c>
      <c r="G27" s="19">
        <f>[47]실험기록부!$G$11</f>
        <v>5.4528E-2</v>
      </c>
      <c r="H27" s="20">
        <f>[47]실험기록부!$H$11</f>
        <v>2.5</v>
      </c>
      <c r="I27" s="27">
        <f>[48]커버3!$G$13</f>
        <v>656</v>
      </c>
      <c r="J27" s="99">
        <f>[47]일반사항!$D$28</f>
        <v>19.95</v>
      </c>
    </row>
    <row r="28" spans="1:10" ht="20.100000000000001" customHeight="1">
      <c r="A28" s="25">
        <f>[49]일반사항!$B$4</f>
        <v>44341</v>
      </c>
      <c r="B28" s="16">
        <f>[49]일반사항!$E$28</f>
        <v>6.6749999999999998</v>
      </c>
      <c r="C28" s="45">
        <f>[49]실험기록부!$C$11</f>
        <v>1.2999999999999998</v>
      </c>
      <c r="D28" s="17">
        <f>[49]실험기록부!$D$11</f>
        <v>5.1505733707200001</v>
      </c>
      <c r="E28" s="18">
        <f>[49]실험기록부!$E$11</f>
        <v>3</v>
      </c>
      <c r="F28" s="19">
        <f>[49]실험기록부!$F$11</f>
        <v>5.4446400000000006</v>
      </c>
      <c r="G28" s="19">
        <f>[49]실험기록부!$G$11</f>
        <v>4.4304000000000003E-2</v>
      </c>
      <c r="H28" s="20">
        <f>[49]실험기록부!$H$11</f>
        <v>2.5</v>
      </c>
      <c r="I28" s="27">
        <f>[50]커버3!$G$13</f>
        <v>631</v>
      </c>
      <c r="J28" s="99">
        <f>[49]일반사항!$D$28</f>
        <v>20.05</v>
      </c>
    </row>
    <row r="29" spans="1:10" ht="20.100000000000001" customHeight="1">
      <c r="A29" s="25">
        <f>[51]일반사항!$B$4</f>
        <v>44342</v>
      </c>
      <c r="B29" s="16">
        <f>[51]일반사항!$E$28</f>
        <v>6.665</v>
      </c>
      <c r="C29" s="45">
        <f>[51]실험기록부!$C$11</f>
        <v>1.2900000000000009</v>
      </c>
      <c r="D29" s="17">
        <f>[51]실험기록부!$D$11</f>
        <v>5.1165382510560002</v>
      </c>
      <c r="E29" s="18">
        <f>[51]실험기록부!$E$11</f>
        <v>2.5999999999999948</v>
      </c>
      <c r="F29" s="19">
        <f>[51]실험기록부!$F$11</f>
        <v>6.6182400000000001</v>
      </c>
      <c r="G29" s="19">
        <f>[51]실험기록부!$G$11</f>
        <v>7.7712000000000003E-2</v>
      </c>
      <c r="H29" s="20">
        <f>[51]실험기록부!$H$11</f>
        <v>2.5</v>
      </c>
      <c r="I29" s="27">
        <f>[52]커버3!$G$13</f>
        <v>544</v>
      </c>
      <c r="J29" s="99">
        <f>[51]일반사항!$D$28</f>
        <v>20.100000000000001</v>
      </c>
    </row>
    <row r="30" spans="1:10" ht="20.100000000000001" customHeight="1">
      <c r="A30" s="25">
        <f>[53]일반사항!$B$4</f>
        <v>44343</v>
      </c>
      <c r="B30" s="16">
        <f>[53]일반사항!$E$28</f>
        <v>6.665</v>
      </c>
      <c r="C30" s="45">
        <f>[53]실험기록부!$C$11</f>
        <v>1.370000000000001</v>
      </c>
      <c r="D30" s="17">
        <f>[53]실험기록부!$D$11</f>
        <v>5.1863130407120002</v>
      </c>
      <c r="E30" s="18">
        <f>[53]실험기록부!$E$11</f>
        <v>3</v>
      </c>
      <c r="F30" s="19">
        <f>[53]실험기록부!$F$11</f>
        <v>8.299199999999999</v>
      </c>
      <c r="G30" s="19">
        <f>[53]실험기록부!$G$11</f>
        <v>5.5440000000000003E-2</v>
      </c>
      <c r="H30" s="20">
        <f>[53]실험기록부!$H$11</f>
        <v>2.5</v>
      </c>
      <c r="I30" s="27">
        <f>[54]커버3!$G$13</f>
        <v>552</v>
      </c>
      <c r="J30" s="99">
        <f>[53]일반사항!$D$28</f>
        <v>20.149999999999999</v>
      </c>
    </row>
    <row r="31" spans="1:10" ht="20.100000000000001" customHeight="1">
      <c r="A31" s="25">
        <f>[55]일반사항!$B$4</f>
        <v>44344</v>
      </c>
      <c r="B31" s="16">
        <f>[55]일반사항!$E$28</f>
        <v>6.665</v>
      </c>
      <c r="C31" s="45">
        <f>[55]실험기록부!$C$11</f>
        <v>1.2600000000000007</v>
      </c>
      <c r="D31" s="17">
        <f>[55]실험기록부!$D$11</f>
        <v>5.1169434310520003</v>
      </c>
      <c r="E31" s="18">
        <f>[55]실험기록부!$E$11</f>
        <v>2.8000000000000114</v>
      </c>
      <c r="F31" s="19">
        <f>[55]실험기록부!$F$11</f>
        <v>7.884479999999999</v>
      </c>
      <c r="G31" s="19">
        <f>[55]실험기록부!$G$11</f>
        <v>5.1408000000000002E-2</v>
      </c>
      <c r="H31" s="20">
        <f>[55]실험기록부!$H$11</f>
        <v>2.5</v>
      </c>
      <c r="I31" s="27">
        <f>[56]커버3!$G$13</f>
        <v>755</v>
      </c>
      <c r="J31" s="99">
        <f>[55]일반사항!$D$28</f>
        <v>20.149999999999999</v>
      </c>
    </row>
    <row r="32" spans="1:10" ht="20.100000000000001" customHeight="1">
      <c r="A32" s="25">
        <f>[57]일반사항!$B$4</f>
        <v>44345</v>
      </c>
      <c r="B32" s="16">
        <f>[57]일반사항!$E$28</f>
        <v>6.665</v>
      </c>
      <c r="C32" s="45">
        <f>[57]실험기록부!$C$11</f>
        <v>1.2999999999999998</v>
      </c>
      <c r="D32" s="17">
        <f>[57]실험기록부!$D$11</f>
        <v>4.0503822547319999</v>
      </c>
      <c r="E32" s="18">
        <f>[57]실험기록부!$E$11</f>
        <v>1.7</v>
      </c>
      <c r="F32" s="19">
        <f>[57]실험기록부!$F$11</f>
        <v>7.1109999999999998</v>
      </c>
      <c r="G32" s="19">
        <f>[57]실험기록부!$G$11</f>
        <v>4.2999999999999997E-2</v>
      </c>
      <c r="H32" s="20">
        <f>[57]실험기록부!$H$11</f>
        <v>3.5</v>
      </c>
      <c r="I32" s="27">
        <f>[58]커버3!$G$13</f>
        <v>676</v>
      </c>
      <c r="J32" s="99">
        <f>[57]일반사항!$D$28</f>
        <v>20.149999999999999</v>
      </c>
    </row>
    <row r="33" spans="1:10" ht="20.100000000000001" customHeight="1">
      <c r="A33" s="25">
        <f>[59]일반사항!$B$4</f>
        <v>44346</v>
      </c>
      <c r="B33" s="16">
        <f>[59]일반사항!$E$28</f>
        <v>6.6749999999999998</v>
      </c>
      <c r="C33" s="45">
        <f>[59]실험기록부!$C$11</f>
        <v>1.4200000000000008</v>
      </c>
      <c r="D33" s="17">
        <f>[59]실험기록부!$D$11</f>
        <v>4.0624736638119998</v>
      </c>
      <c r="E33" s="18">
        <f>[59]실험기록부!$E$11</f>
        <v>1.6</v>
      </c>
      <c r="F33" s="19">
        <f>[59]실험기록부!$F$11</f>
        <v>6.6</v>
      </c>
      <c r="G33" s="19">
        <f>[59]실험기록부!$G$11</f>
        <v>4.2000000000000003E-2</v>
      </c>
      <c r="H33" s="20">
        <f>[59]실험기록부!$H$11</f>
        <v>2</v>
      </c>
      <c r="I33" s="27">
        <f>[60]커버3!$G$13</f>
        <v>555</v>
      </c>
      <c r="J33" s="99">
        <f>[59]일반사항!$D$28</f>
        <v>20.2</v>
      </c>
    </row>
    <row r="34" spans="1:10" ht="20.100000000000001" customHeight="1" thickBot="1">
      <c r="A34" s="28">
        <f>[61]일반사항!$B$4</f>
        <v>44347</v>
      </c>
      <c r="B34" s="29">
        <f>[61]일반사항!$E$28</f>
        <v>6.665</v>
      </c>
      <c r="C34" s="46">
        <f>[61]실험기록부!$C$11</f>
        <v>1.2100000000000009</v>
      </c>
      <c r="D34" s="30">
        <f>[61]실험기록부!$D$11</f>
        <v>4.3742914202960002</v>
      </c>
      <c r="E34" s="31">
        <f>[61]실험기록부!$E$11</f>
        <v>2.8000000000000114</v>
      </c>
      <c r="F34" s="32">
        <f>[61]실험기록부!$F$11</f>
        <v>8.2670399999999979</v>
      </c>
      <c r="G34" s="32">
        <f>[61]실험기록부!$G$11</f>
        <v>5.0592000000000005E-2</v>
      </c>
      <c r="H34" s="33">
        <f>[61]실험기록부!$H$11</f>
        <v>2.5</v>
      </c>
      <c r="I34" s="34">
        <f>[62]커버3!$G$13</f>
        <v>939</v>
      </c>
      <c r="J34" s="99">
        <f>[61]일반사항!$D$28</f>
        <v>20.05</v>
      </c>
    </row>
    <row r="35" spans="1:10" ht="20.100000000000001" customHeight="1" thickTop="1">
      <c r="A35" s="15" t="s">
        <v>0</v>
      </c>
      <c r="B35" s="37">
        <f>MAX(B4:B34)</f>
        <v>6.7350000000000003</v>
      </c>
      <c r="C35" s="35">
        <f t="shared" ref="C35:I35" si="0">MAX(C4:C34)</f>
        <v>1.5199999999999996</v>
      </c>
      <c r="D35" s="35">
        <f t="shared" si="0"/>
        <v>6.2034465369339999</v>
      </c>
      <c r="E35" s="35">
        <f t="shared" si="0"/>
        <v>3.2000000000000175</v>
      </c>
      <c r="F35" s="40">
        <f t="shared" si="0"/>
        <v>8.5132799999999982</v>
      </c>
      <c r="G35" s="40">
        <f t="shared" si="0"/>
        <v>0.158</v>
      </c>
      <c r="H35" s="84">
        <f t="shared" si="0"/>
        <v>3.5</v>
      </c>
      <c r="I35" s="87">
        <f t="shared" si="0"/>
        <v>1025</v>
      </c>
    </row>
    <row r="36" spans="1:10" ht="20.100000000000001" customHeight="1">
      <c r="A36" s="1" t="s">
        <v>1</v>
      </c>
      <c r="B36" s="38">
        <f>MIN(B5:B34)</f>
        <v>6.6550000000000002</v>
      </c>
      <c r="C36" s="4">
        <f t="shared" ref="C36:I36" si="1">MIN(C5:C34)</f>
        <v>0.86999999999999922</v>
      </c>
      <c r="D36" s="4">
        <f t="shared" si="1"/>
        <v>4.0503822547319999</v>
      </c>
      <c r="E36" s="4">
        <f t="shared" si="1"/>
        <v>1.6</v>
      </c>
      <c r="F36" s="41">
        <f t="shared" si="1"/>
        <v>4.98048</v>
      </c>
      <c r="G36" s="41">
        <f t="shared" si="1"/>
        <v>3.3360000000000001E-2</v>
      </c>
      <c r="H36" s="85">
        <f t="shared" si="1"/>
        <v>1</v>
      </c>
      <c r="I36" s="88">
        <f t="shared" si="1"/>
        <v>512</v>
      </c>
    </row>
    <row r="37" spans="1:10" ht="20.100000000000001" customHeight="1" thickBot="1">
      <c r="A37" s="2" t="s">
        <v>2</v>
      </c>
      <c r="B37" s="39">
        <f>AVERAGE(B4:B34)</f>
        <v>6.6651612903225796</v>
      </c>
      <c r="C37" s="36">
        <f t="shared" ref="C37:I37" si="2">AVERAGE(C4:C34)</f>
        <v>1.2625806451612904</v>
      </c>
      <c r="D37" s="36">
        <f t="shared" si="2"/>
        <v>4.976233450103873</v>
      </c>
      <c r="E37" s="36">
        <f t="shared" si="2"/>
        <v>2.6086021505376387</v>
      </c>
      <c r="F37" s="42">
        <f t="shared" si="2"/>
        <v>6.9918722580645154</v>
      </c>
      <c r="G37" s="42">
        <f t="shared" si="2"/>
        <v>6.5347612903225799E-2</v>
      </c>
      <c r="H37" s="86">
        <f t="shared" si="2"/>
        <v>2.274193548387097</v>
      </c>
      <c r="I37" s="89">
        <f t="shared" si="2"/>
        <v>642.45161290322585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2021-02-08T04:13:19Z</cp:lastPrinted>
  <dcterms:created xsi:type="dcterms:W3CDTF">2012-04-09T23:45:26Z</dcterms:created>
  <dcterms:modified xsi:type="dcterms:W3CDTF">2021-06-02T09:10:36Z</dcterms:modified>
</cp:coreProperties>
</file>