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235\기술2팀\기술2팀\3.월보\2.공정\2021년\1.황간\"/>
    </mc:Choice>
  </mc:AlternateContent>
  <bookViews>
    <workbookView xWindow="0" yWindow="0" windowWidth="28800" windowHeight="11730" activeTab="2"/>
  </bookViews>
  <sheets>
    <sheet name="유입수" sheetId="4" r:id="rId1"/>
    <sheet name="유출수" sheetId="10" r:id="rId2"/>
    <sheet name="방류수" sheetId="9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</externalReferences>
  <definedNames>
    <definedName name="_xlnm.Print_Area" localSheetId="2">방류수!$A$1:$I$37</definedName>
    <definedName name="_xlnm.Print_Area" localSheetId="0">유입수!$A$1:$I$37</definedName>
    <definedName name="_xlnm.Print_Area" localSheetId="1">유출수!$A$1:$I$37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4" i="9" l="1"/>
  <c r="H34" i="9"/>
  <c r="G34" i="9"/>
  <c r="F34" i="9"/>
  <c r="E34" i="9"/>
  <c r="D34" i="9"/>
  <c r="C34" i="9"/>
  <c r="B34" i="9"/>
  <c r="A34" i="9"/>
  <c r="I33" i="9"/>
  <c r="H33" i="9"/>
  <c r="G33" i="9"/>
  <c r="F33" i="9"/>
  <c r="E33" i="9"/>
  <c r="D33" i="9"/>
  <c r="C33" i="9"/>
  <c r="B33" i="9"/>
  <c r="A33" i="9"/>
  <c r="I32" i="9"/>
  <c r="H32" i="9"/>
  <c r="G32" i="9"/>
  <c r="F32" i="9"/>
  <c r="E32" i="9"/>
  <c r="D32" i="9"/>
  <c r="C32" i="9"/>
  <c r="B32" i="9"/>
  <c r="A32" i="9"/>
  <c r="I31" i="9"/>
  <c r="H31" i="9"/>
  <c r="G31" i="9"/>
  <c r="F31" i="9"/>
  <c r="E31" i="9"/>
  <c r="D31" i="9"/>
  <c r="C31" i="9"/>
  <c r="B31" i="9"/>
  <c r="A31" i="9"/>
  <c r="I30" i="9"/>
  <c r="H30" i="9"/>
  <c r="G30" i="9"/>
  <c r="F30" i="9"/>
  <c r="E30" i="9"/>
  <c r="D30" i="9"/>
  <c r="C30" i="9"/>
  <c r="B30" i="9"/>
  <c r="A30" i="9"/>
  <c r="I29" i="9"/>
  <c r="H29" i="9"/>
  <c r="G29" i="9"/>
  <c r="F29" i="9"/>
  <c r="E29" i="9"/>
  <c r="D29" i="9"/>
  <c r="C29" i="9"/>
  <c r="B29" i="9"/>
  <c r="A29" i="9"/>
  <c r="I28" i="9"/>
  <c r="H28" i="9"/>
  <c r="G28" i="9"/>
  <c r="F28" i="9"/>
  <c r="E28" i="9"/>
  <c r="D28" i="9"/>
  <c r="C28" i="9"/>
  <c r="B28" i="9"/>
  <c r="A28" i="9"/>
  <c r="I27" i="9"/>
  <c r="H27" i="9"/>
  <c r="G27" i="9"/>
  <c r="F27" i="9"/>
  <c r="E27" i="9"/>
  <c r="D27" i="9"/>
  <c r="C27" i="9"/>
  <c r="B27" i="9"/>
  <c r="A27" i="9"/>
  <c r="I26" i="9"/>
  <c r="H26" i="9"/>
  <c r="G26" i="9"/>
  <c r="F26" i="9"/>
  <c r="E26" i="9"/>
  <c r="D26" i="9"/>
  <c r="C26" i="9"/>
  <c r="B26" i="9"/>
  <c r="A26" i="9"/>
  <c r="I25" i="9"/>
  <c r="H25" i="9"/>
  <c r="G25" i="9"/>
  <c r="F25" i="9"/>
  <c r="E25" i="9"/>
  <c r="D25" i="9"/>
  <c r="C25" i="9"/>
  <c r="B25" i="9"/>
  <c r="A25" i="9"/>
  <c r="I24" i="9"/>
  <c r="H24" i="9"/>
  <c r="G24" i="9"/>
  <c r="F24" i="9"/>
  <c r="E24" i="9"/>
  <c r="D24" i="9"/>
  <c r="C24" i="9"/>
  <c r="B24" i="9"/>
  <c r="A24" i="9"/>
  <c r="I23" i="9"/>
  <c r="H23" i="9"/>
  <c r="G23" i="9"/>
  <c r="F23" i="9"/>
  <c r="E23" i="9"/>
  <c r="D23" i="9"/>
  <c r="C23" i="9"/>
  <c r="B23" i="9"/>
  <c r="A23" i="9"/>
  <c r="I22" i="9"/>
  <c r="H22" i="9"/>
  <c r="G22" i="9"/>
  <c r="F22" i="9"/>
  <c r="E22" i="9"/>
  <c r="D22" i="9"/>
  <c r="C22" i="9"/>
  <c r="B22" i="9"/>
  <c r="A22" i="9"/>
  <c r="I21" i="9"/>
  <c r="H21" i="9"/>
  <c r="G21" i="9"/>
  <c r="F21" i="9"/>
  <c r="E21" i="9"/>
  <c r="D21" i="9"/>
  <c r="C21" i="9"/>
  <c r="B21" i="9"/>
  <c r="A21" i="9"/>
  <c r="H34" i="10"/>
  <c r="G34" i="10"/>
  <c r="F34" i="10"/>
  <c r="E34" i="10"/>
  <c r="D34" i="10"/>
  <c r="C34" i="10"/>
  <c r="B34" i="10"/>
  <c r="A34" i="10"/>
  <c r="H33" i="10"/>
  <c r="G33" i="10"/>
  <c r="F33" i="10"/>
  <c r="E33" i="10"/>
  <c r="D33" i="10"/>
  <c r="C33" i="10"/>
  <c r="B33" i="10"/>
  <c r="A33" i="10"/>
  <c r="H32" i="10"/>
  <c r="G32" i="10"/>
  <c r="F32" i="10"/>
  <c r="E32" i="10"/>
  <c r="D32" i="10"/>
  <c r="C32" i="10"/>
  <c r="B32" i="10"/>
  <c r="A32" i="10"/>
  <c r="H31" i="10"/>
  <c r="G31" i="10"/>
  <c r="F31" i="10"/>
  <c r="E31" i="10"/>
  <c r="D31" i="10"/>
  <c r="C31" i="10"/>
  <c r="B31" i="10"/>
  <c r="A31" i="10"/>
  <c r="H30" i="10"/>
  <c r="G30" i="10"/>
  <c r="F30" i="10"/>
  <c r="E30" i="10"/>
  <c r="D30" i="10"/>
  <c r="C30" i="10"/>
  <c r="B30" i="10"/>
  <c r="A30" i="10"/>
  <c r="H29" i="10"/>
  <c r="G29" i="10"/>
  <c r="F29" i="10"/>
  <c r="E29" i="10"/>
  <c r="D29" i="10"/>
  <c r="C29" i="10"/>
  <c r="B29" i="10"/>
  <c r="A29" i="10"/>
  <c r="H28" i="10"/>
  <c r="G28" i="10"/>
  <c r="F28" i="10"/>
  <c r="E28" i="10"/>
  <c r="D28" i="10"/>
  <c r="C28" i="10"/>
  <c r="B28" i="10"/>
  <c r="A28" i="10"/>
  <c r="H27" i="10"/>
  <c r="G27" i="10"/>
  <c r="F27" i="10"/>
  <c r="E27" i="10"/>
  <c r="D27" i="10"/>
  <c r="C27" i="10"/>
  <c r="B27" i="10"/>
  <c r="A27" i="10"/>
  <c r="H26" i="10"/>
  <c r="G26" i="10"/>
  <c r="F26" i="10"/>
  <c r="E26" i="10"/>
  <c r="D26" i="10"/>
  <c r="C26" i="10"/>
  <c r="B26" i="10"/>
  <c r="A26" i="10"/>
  <c r="H25" i="10"/>
  <c r="G25" i="10"/>
  <c r="F25" i="10"/>
  <c r="E25" i="10"/>
  <c r="D25" i="10"/>
  <c r="C25" i="10"/>
  <c r="B25" i="10"/>
  <c r="A25" i="10"/>
  <c r="H24" i="10"/>
  <c r="G24" i="10"/>
  <c r="F24" i="10"/>
  <c r="E24" i="10"/>
  <c r="D24" i="10"/>
  <c r="C24" i="10"/>
  <c r="B24" i="10"/>
  <c r="A24" i="10"/>
  <c r="H23" i="10"/>
  <c r="G23" i="10"/>
  <c r="F23" i="10"/>
  <c r="E23" i="10"/>
  <c r="D23" i="10"/>
  <c r="C23" i="10"/>
  <c r="B23" i="10"/>
  <c r="A23" i="10"/>
  <c r="H22" i="10"/>
  <c r="G22" i="10"/>
  <c r="F22" i="10"/>
  <c r="E22" i="10"/>
  <c r="D22" i="10"/>
  <c r="C22" i="10"/>
  <c r="B22" i="10"/>
  <c r="A22" i="10"/>
  <c r="H21" i="10"/>
  <c r="G21" i="10"/>
  <c r="F21" i="10"/>
  <c r="E21" i="10"/>
  <c r="D21" i="10"/>
  <c r="C21" i="10"/>
  <c r="B21" i="10"/>
  <c r="A21" i="10"/>
  <c r="H20" i="10"/>
  <c r="G20" i="10"/>
  <c r="F20" i="10"/>
  <c r="E20" i="10"/>
  <c r="D20" i="10"/>
  <c r="C20" i="10"/>
  <c r="B20" i="10"/>
  <c r="A20" i="10"/>
  <c r="H19" i="10"/>
  <c r="G19" i="10"/>
  <c r="F19" i="10"/>
  <c r="E19" i="10"/>
  <c r="D19" i="10"/>
  <c r="C19" i="10"/>
  <c r="B19" i="10"/>
  <c r="A19" i="10"/>
  <c r="H18" i="10"/>
  <c r="G18" i="10"/>
  <c r="F18" i="10"/>
  <c r="E18" i="10"/>
  <c r="D18" i="10"/>
  <c r="C18" i="10"/>
  <c r="B18" i="10"/>
  <c r="A18" i="10"/>
  <c r="H17" i="10"/>
  <c r="G17" i="10"/>
  <c r="F17" i="10"/>
  <c r="E17" i="10"/>
  <c r="D17" i="10"/>
  <c r="C17" i="10"/>
  <c r="B17" i="10"/>
  <c r="A17" i="10"/>
  <c r="H16" i="10"/>
  <c r="G16" i="10"/>
  <c r="F16" i="10"/>
  <c r="E16" i="10"/>
  <c r="D16" i="10"/>
  <c r="C16" i="10"/>
  <c r="B16" i="10"/>
  <c r="A16" i="10"/>
  <c r="H15" i="10"/>
  <c r="G15" i="10"/>
  <c r="F15" i="10"/>
  <c r="E15" i="10"/>
  <c r="D15" i="10"/>
  <c r="C15" i="10"/>
  <c r="B15" i="10"/>
  <c r="A15" i="10"/>
  <c r="H14" i="10"/>
  <c r="G14" i="10"/>
  <c r="F14" i="10"/>
  <c r="E14" i="10"/>
  <c r="D14" i="10"/>
  <c r="C14" i="10"/>
  <c r="B14" i="10"/>
  <c r="A14" i="10"/>
  <c r="H13" i="10"/>
  <c r="G13" i="10"/>
  <c r="F13" i="10"/>
  <c r="E13" i="10"/>
  <c r="D13" i="10"/>
  <c r="C13" i="10"/>
  <c r="B13" i="10"/>
  <c r="A13" i="10"/>
  <c r="H12" i="10"/>
  <c r="G12" i="10"/>
  <c r="F12" i="10"/>
  <c r="E12" i="10"/>
  <c r="D12" i="10"/>
  <c r="C12" i="10"/>
  <c r="B12" i="10"/>
  <c r="A12" i="10"/>
  <c r="H11" i="10"/>
  <c r="G11" i="10"/>
  <c r="F11" i="10"/>
  <c r="E11" i="10"/>
  <c r="D11" i="10"/>
  <c r="C11" i="10"/>
  <c r="B11" i="10"/>
  <c r="A11" i="10"/>
  <c r="H10" i="10"/>
  <c r="G10" i="10"/>
  <c r="F10" i="10"/>
  <c r="E10" i="10"/>
  <c r="D10" i="10"/>
  <c r="C10" i="10"/>
  <c r="B10" i="10"/>
  <c r="A10" i="10"/>
  <c r="H9" i="10"/>
  <c r="G9" i="10"/>
  <c r="F9" i="10"/>
  <c r="E9" i="10"/>
  <c r="D9" i="10"/>
  <c r="C9" i="10"/>
  <c r="B9" i="10"/>
  <c r="A9" i="10"/>
  <c r="H8" i="10"/>
  <c r="G8" i="10"/>
  <c r="F8" i="10"/>
  <c r="E8" i="10"/>
  <c r="D8" i="10"/>
  <c r="C8" i="10"/>
  <c r="B8" i="10"/>
  <c r="A8" i="10"/>
  <c r="H7" i="10"/>
  <c r="G7" i="10"/>
  <c r="F7" i="10"/>
  <c r="E7" i="10"/>
  <c r="D7" i="10"/>
  <c r="C7" i="10"/>
  <c r="B7" i="10"/>
  <c r="A7" i="10"/>
  <c r="H6" i="10"/>
  <c r="G6" i="10"/>
  <c r="F6" i="10"/>
  <c r="E6" i="10"/>
  <c r="D6" i="10"/>
  <c r="C6" i="10"/>
  <c r="B6" i="10"/>
  <c r="A6" i="10"/>
  <c r="H5" i="10"/>
  <c r="G5" i="10"/>
  <c r="F5" i="10"/>
  <c r="E5" i="10"/>
  <c r="D5" i="10"/>
  <c r="C5" i="10"/>
  <c r="B5" i="10"/>
  <c r="A5" i="10"/>
  <c r="H4" i="10"/>
  <c r="G4" i="10"/>
  <c r="F4" i="10"/>
  <c r="E4" i="10"/>
  <c r="D4" i="10"/>
  <c r="C4" i="10"/>
  <c r="B4" i="10"/>
  <c r="A4" i="10"/>
  <c r="I34" i="4"/>
  <c r="H34" i="4"/>
  <c r="G34" i="4"/>
  <c r="F34" i="4"/>
  <c r="E34" i="4"/>
  <c r="D34" i="4"/>
  <c r="C34" i="4"/>
  <c r="B34" i="4"/>
  <c r="A34" i="4"/>
  <c r="I33" i="4"/>
  <c r="H33" i="4"/>
  <c r="G33" i="4"/>
  <c r="F33" i="4"/>
  <c r="E33" i="4"/>
  <c r="D33" i="4"/>
  <c r="C33" i="4"/>
  <c r="B33" i="4"/>
  <c r="A33" i="4"/>
  <c r="I32" i="4"/>
  <c r="H32" i="4"/>
  <c r="G32" i="4"/>
  <c r="F32" i="4"/>
  <c r="E32" i="4"/>
  <c r="D32" i="4"/>
  <c r="C32" i="4"/>
  <c r="B32" i="4"/>
  <c r="A32" i="4"/>
  <c r="I31" i="4"/>
  <c r="H31" i="4"/>
  <c r="G31" i="4"/>
  <c r="F31" i="4"/>
  <c r="E31" i="4"/>
  <c r="D31" i="4"/>
  <c r="C31" i="4"/>
  <c r="B31" i="4"/>
  <c r="A31" i="4"/>
  <c r="I30" i="4"/>
  <c r="H30" i="4"/>
  <c r="G30" i="4"/>
  <c r="F30" i="4"/>
  <c r="E30" i="4"/>
  <c r="D30" i="4"/>
  <c r="C30" i="4"/>
  <c r="B30" i="4"/>
  <c r="A30" i="4"/>
  <c r="I29" i="4"/>
  <c r="H29" i="4"/>
  <c r="G29" i="4"/>
  <c r="F29" i="4"/>
  <c r="E29" i="4"/>
  <c r="D29" i="4"/>
  <c r="C29" i="4"/>
  <c r="B29" i="4"/>
  <c r="A29" i="4"/>
  <c r="I28" i="4"/>
  <c r="H28" i="4"/>
  <c r="G28" i="4"/>
  <c r="F28" i="4"/>
  <c r="E28" i="4"/>
  <c r="D28" i="4"/>
  <c r="C28" i="4"/>
  <c r="B28" i="4"/>
  <c r="A28" i="4"/>
  <c r="I27" i="4"/>
  <c r="H27" i="4"/>
  <c r="G27" i="4"/>
  <c r="F27" i="4"/>
  <c r="E27" i="4"/>
  <c r="D27" i="4"/>
  <c r="C27" i="4"/>
  <c r="B27" i="4"/>
  <c r="A27" i="4"/>
  <c r="I26" i="4"/>
  <c r="H26" i="4"/>
  <c r="G26" i="4"/>
  <c r="F26" i="4"/>
  <c r="E26" i="4"/>
  <c r="D26" i="4"/>
  <c r="C26" i="4"/>
  <c r="B26" i="4"/>
  <c r="A26" i="4"/>
  <c r="I25" i="4"/>
  <c r="H25" i="4"/>
  <c r="G25" i="4"/>
  <c r="F25" i="4"/>
  <c r="E25" i="4"/>
  <c r="D25" i="4"/>
  <c r="C25" i="4"/>
  <c r="B25" i="4"/>
  <c r="A25" i="4"/>
  <c r="I24" i="4"/>
  <c r="H24" i="4"/>
  <c r="G24" i="4"/>
  <c r="F24" i="4"/>
  <c r="E24" i="4"/>
  <c r="D24" i="4"/>
  <c r="C24" i="4"/>
  <c r="B24" i="4"/>
  <c r="A24" i="4"/>
  <c r="I23" i="4"/>
  <c r="H23" i="4"/>
  <c r="G23" i="4"/>
  <c r="F23" i="4"/>
  <c r="E23" i="4"/>
  <c r="D23" i="4"/>
  <c r="C23" i="4"/>
  <c r="B23" i="4"/>
  <c r="A23" i="4"/>
  <c r="I22" i="4"/>
  <c r="H22" i="4"/>
  <c r="G22" i="4"/>
  <c r="F22" i="4"/>
  <c r="E22" i="4"/>
  <c r="D22" i="4"/>
  <c r="C22" i="4"/>
  <c r="B22" i="4"/>
  <c r="A22" i="4"/>
  <c r="I21" i="4"/>
  <c r="H21" i="4"/>
  <c r="G21" i="4"/>
  <c r="F21" i="4"/>
  <c r="E21" i="4"/>
  <c r="D21" i="4"/>
  <c r="C21" i="4"/>
  <c r="B21" i="4"/>
  <c r="A21" i="4"/>
  <c r="I20" i="4"/>
  <c r="H20" i="4"/>
  <c r="G20" i="4"/>
  <c r="F20" i="4"/>
  <c r="E20" i="4"/>
  <c r="D20" i="4"/>
  <c r="C20" i="4"/>
  <c r="B20" i="4"/>
  <c r="A20" i="4"/>
  <c r="I19" i="4"/>
  <c r="H19" i="4"/>
  <c r="G19" i="4"/>
  <c r="F19" i="4"/>
  <c r="E19" i="4"/>
  <c r="D19" i="4"/>
  <c r="C19" i="4"/>
  <c r="B19" i="4"/>
  <c r="A19" i="4"/>
  <c r="I18" i="4"/>
  <c r="H18" i="4"/>
  <c r="G18" i="4"/>
  <c r="F18" i="4"/>
  <c r="E18" i="4"/>
  <c r="D18" i="4"/>
  <c r="C18" i="4"/>
  <c r="B18" i="4"/>
  <c r="A18" i="4"/>
  <c r="I17" i="4"/>
  <c r="H17" i="4"/>
  <c r="G17" i="4"/>
  <c r="F17" i="4"/>
  <c r="E17" i="4"/>
  <c r="D17" i="4"/>
  <c r="C17" i="4"/>
  <c r="B17" i="4"/>
  <c r="A17" i="4"/>
  <c r="I16" i="4"/>
  <c r="H16" i="4"/>
  <c r="G16" i="4"/>
  <c r="F16" i="4"/>
  <c r="E16" i="4"/>
  <c r="D16" i="4"/>
  <c r="C16" i="4"/>
  <c r="B16" i="4"/>
  <c r="A16" i="4"/>
  <c r="I15" i="4"/>
  <c r="H15" i="4"/>
  <c r="G15" i="4"/>
  <c r="F15" i="4"/>
  <c r="E15" i="4"/>
  <c r="D15" i="4"/>
  <c r="C15" i="4"/>
  <c r="B15" i="4"/>
  <c r="A15" i="4"/>
  <c r="I14" i="4"/>
  <c r="H14" i="4"/>
  <c r="G14" i="4"/>
  <c r="F14" i="4"/>
  <c r="E14" i="4"/>
  <c r="D14" i="4"/>
  <c r="C14" i="4"/>
  <c r="B14" i="4"/>
  <c r="A14" i="4"/>
  <c r="I13" i="4"/>
  <c r="H13" i="4"/>
  <c r="G13" i="4"/>
  <c r="F13" i="4"/>
  <c r="E13" i="4"/>
  <c r="D13" i="4"/>
  <c r="C13" i="4"/>
  <c r="B13" i="4"/>
  <c r="A13" i="4"/>
  <c r="I12" i="4"/>
  <c r="H12" i="4"/>
  <c r="G12" i="4"/>
  <c r="F12" i="4"/>
  <c r="E12" i="4"/>
  <c r="D12" i="4"/>
  <c r="C12" i="4"/>
  <c r="B12" i="4"/>
  <c r="A12" i="4"/>
  <c r="I11" i="4"/>
  <c r="H11" i="4"/>
  <c r="G11" i="4"/>
  <c r="F11" i="4"/>
  <c r="E11" i="4"/>
  <c r="D11" i="4"/>
  <c r="C11" i="4"/>
  <c r="B11" i="4"/>
  <c r="A11" i="4"/>
  <c r="I10" i="4"/>
  <c r="H10" i="4"/>
  <c r="G10" i="4"/>
  <c r="F10" i="4"/>
  <c r="E10" i="4"/>
  <c r="D10" i="4"/>
  <c r="C10" i="4"/>
  <c r="B10" i="4"/>
  <c r="A10" i="4"/>
  <c r="I9" i="4"/>
  <c r="H9" i="4"/>
  <c r="G9" i="4"/>
  <c r="F9" i="4"/>
  <c r="E9" i="4"/>
  <c r="D9" i="4"/>
  <c r="C9" i="4"/>
  <c r="B9" i="4"/>
  <c r="A9" i="4"/>
  <c r="I8" i="4"/>
  <c r="H8" i="4"/>
  <c r="G8" i="4"/>
  <c r="F8" i="4"/>
  <c r="E8" i="4"/>
  <c r="D8" i="4"/>
  <c r="C8" i="4"/>
  <c r="B8" i="4"/>
  <c r="A8" i="4"/>
  <c r="I7" i="4"/>
  <c r="H7" i="4"/>
  <c r="G7" i="4"/>
  <c r="F7" i="4"/>
  <c r="E7" i="4"/>
  <c r="D7" i="4"/>
  <c r="C7" i="4"/>
  <c r="B7" i="4"/>
  <c r="A7" i="4"/>
  <c r="I6" i="4"/>
  <c r="H6" i="4"/>
  <c r="G6" i="4"/>
  <c r="F6" i="4"/>
  <c r="E6" i="4"/>
  <c r="D6" i="4"/>
  <c r="C6" i="4"/>
  <c r="B6" i="4"/>
  <c r="A6" i="4"/>
  <c r="I5" i="4"/>
  <c r="H5" i="4"/>
  <c r="G5" i="4"/>
  <c r="F5" i="4"/>
  <c r="E5" i="4"/>
  <c r="D5" i="4"/>
  <c r="C5" i="4"/>
  <c r="B5" i="4"/>
  <c r="A5" i="4"/>
  <c r="I4" i="4"/>
  <c r="H4" i="4"/>
  <c r="G4" i="4"/>
  <c r="F4" i="4"/>
  <c r="E4" i="4"/>
  <c r="D4" i="4"/>
  <c r="C4" i="4"/>
  <c r="B4" i="4"/>
  <c r="A4" i="4"/>
  <c r="I20" i="9" l="1"/>
  <c r="H20" i="9"/>
  <c r="G20" i="9"/>
  <c r="F20" i="9"/>
  <c r="E20" i="9"/>
  <c r="D20" i="9"/>
  <c r="C20" i="9"/>
  <c r="B20" i="9"/>
  <c r="A20" i="9"/>
  <c r="J19" i="9"/>
  <c r="I19" i="9"/>
  <c r="H19" i="9"/>
  <c r="G19" i="9"/>
  <c r="F19" i="9"/>
  <c r="E19" i="9"/>
  <c r="D19" i="9"/>
  <c r="C19" i="9"/>
  <c r="B19" i="9"/>
  <c r="A19" i="9"/>
  <c r="J18" i="9"/>
  <c r="I18" i="9"/>
  <c r="H18" i="9"/>
  <c r="G18" i="9"/>
  <c r="F18" i="9"/>
  <c r="E18" i="9"/>
  <c r="D18" i="9"/>
  <c r="C18" i="9"/>
  <c r="B18" i="9"/>
  <c r="A18" i="9"/>
  <c r="J17" i="9"/>
  <c r="I17" i="9"/>
  <c r="H17" i="9"/>
  <c r="G17" i="9"/>
  <c r="F17" i="9"/>
  <c r="E17" i="9"/>
  <c r="D17" i="9"/>
  <c r="C17" i="9"/>
  <c r="B17" i="9"/>
  <c r="A17" i="9"/>
  <c r="J16" i="9"/>
  <c r="I16" i="9"/>
  <c r="H16" i="9"/>
  <c r="G16" i="9"/>
  <c r="F16" i="9"/>
  <c r="E16" i="9"/>
  <c r="D16" i="9"/>
  <c r="C16" i="9"/>
  <c r="B16" i="9"/>
  <c r="A16" i="9"/>
  <c r="J15" i="9"/>
  <c r="I15" i="9"/>
  <c r="H15" i="9"/>
  <c r="G15" i="9"/>
  <c r="F15" i="9"/>
  <c r="E15" i="9"/>
  <c r="D15" i="9"/>
  <c r="C15" i="9"/>
  <c r="B15" i="9"/>
  <c r="A15" i="9"/>
  <c r="J14" i="9"/>
  <c r="I14" i="9"/>
  <c r="H14" i="9"/>
  <c r="G14" i="9"/>
  <c r="F14" i="9"/>
  <c r="E14" i="9"/>
  <c r="D14" i="9"/>
  <c r="C14" i="9"/>
  <c r="B14" i="9"/>
  <c r="A14" i="9"/>
  <c r="J13" i="9"/>
  <c r="I13" i="9"/>
  <c r="H13" i="9"/>
  <c r="G13" i="9"/>
  <c r="F13" i="9"/>
  <c r="E13" i="9"/>
  <c r="D13" i="9"/>
  <c r="C13" i="9"/>
  <c r="B13" i="9"/>
  <c r="A13" i="9"/>
  <c r="J12" i="9"/>
  <c r="I12" i="9"/>
  <c r="H12" i="9"/>
  <c r="G12" i="9"/>
  <c r="F12" i="9"/>
  <c r="E12" i="9"/>
  <c r="D12" i="9"/>
  <c r="C12" i="9"/>
  <c r="B12" i="9"/>
  <c r="A12" i="9"/>
  <c r="J11" i="9"/>
  <c r="I11" i="9"/>
  <c r="H11" i="9"/>
  <c r="G11" i="9"/>
  <c r="F11" i="9"/>
  <c r="E11" i="9"/>
  <c r="D11" i="9"/>
  <c r="C11" i="9"/>
  <c r="B11" i="9"/>
  <c r="A11" i="9"/>
  <c r="J10" i="9"/>
  <c r="I10" i="9"/>
  <c r="H10" i="9"/>
  <c r="G10" i="9"/>
  <c r="F10" i="9"/>
  <c r="E10" i="9"/>
  <c r="D10" i="9"/>
  <c r="C10" i="9"/>
  <c r="B10" i="9"/>
  <c r="A10" i="9"/>
  <c r="J9" i="9"/>
  <c r="I9" i="9"/>
  <c r="H9" i="9"/>
  <c r="G9" i="9"/>
  <c r="F9" i="9"/>
  <c r="E9" i="9"/>
  <c r="D9" i="9"/>
  <c r="C9" i="9"/>
  <c r="B9" i="9"/>
  <c r="A9" i="9"/>
  <c r="J8" i="9"/>
  <c r="I8" i="9"/>
  <c r="H8" i="9"/>
  <c r="G8" i="9"/>
  <c r="F8" i="9"/>
  <c r="E8" i="9"/>
  <c r="D8" i="9"/>
  <c r="C8" i="9"/>
  <c r="B8" i="9"/>
  <c r="A8" i="9"/>
  <c r="J7" i="9"/>
  <c r="I7" i="9"/>
  <c r="H7" i="9"/>
  <c r="G7" i="9"/>
  <c r="F7" i="9"/>
  <c r="E7" i="9"/>
  <c r="D7" i="9"/>
  <c r="C7" i="9"/>
  <c r="B7" i="9"/>
  <c r="A7" i="9"/>
  <c r="J6" i="9"/>
  <c r="I6" i="9"/>
  <c r="H6" i="9"/>
  <c r="G6" i="9"/>
  <c r="F6" i="9"/>
  <c r="E6" i="9"/>
  <c r="D6" i="9"/>
  <c r="C6" i="9"/>
  <c r="B6" i="9"/>
  <c r="A6" i="9"/>
  <c r="J5" i="9"/>
  <c r="I5" i="9"/>
  <c r="H5" i="9"/>
  <c r="G5" i="9"/>
  <c r="F5" i="9"/>
  <c r="E5" i="9"/>
  <c r="D5" i="9"/>
  <c r="C5" i="9"/>
  <c r="B5" i="9"/>
  <c r="A5" i="9"/>
  <c r="J4" i="9"/>
  <c r="I4" i="9"/>
  <c r="H4" i="9"/>
  <c r="G4" i="9"/>
  <c r="F4" i="9"/>
  <c r="E4" i="9"/>
  <c r="D4" i="9"/>
  <c r="C4" i="9"/>
  <c r="B4" i="9"/>
  <c r="A4" i="9"/>
  <c r="J34" i="9" l="1"/>
  <c r="J34" i="4"/>
  <c r="J33" i="9" l="1"/>
  <c r="J32" i="9"/>
  <c r="J31" i="9"/>
  <c r="J30" i="9"/>
  <c r="J29" i="9"/>
  <c r="J28" i="9"/>
  <c r="J27" i="9"/>
  <c r="J26" i="9"/>
  <c r="J25" i="9"/>
  <c r="J24" i="9"/>
  <c r="J23" i="9"/>
  <c r="J22" i="9"/>
  <c r="J21" i="9"/>
  <c r="J20" i="9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6" i="4"/>
  <c r="J5" i="4"/>
  <c r="H35" i="4"/>
  <c r="J4" i="4"/>
  <c r="F35" i="4"/>
  <c r="B35" i="4"/>
  <c r="E35" i="4" l="1"/>
  <c r="I35" i="4"/>
  <c r="C35" i="4"/>
  <c r="G35" i="4"/>
  <c r="D35" i="4"/>
  <c r="I36" i="4"/>
  <c r="I37" i="4" l="1"/>
  <c r="I35" i="9"/>
  <c r="I36" i="9"/>
  <c r="I37" i="9"/>
  <c r="K13" i="10"/>
  <c r="K14" i="10"/>
  <c r="K27" i="10"/>
  <c r="R5" i="10"/>
  <c r="R6" i="10"/>
  <c r="R7" i="10"/>
  <c r="R8" i="10"/>
  <c r="R9" i="10"/>
  <c r="R10" i="10"/>
  <c r="R11" i="10"/>
  <c r="R12" i="10"/>
  <c r="R13" i="10"/>
  <c r="R14" i="10"/>
  <c r="R15" i="10"/>
  <c r="R16" i="10"/>
  <c r="R17" i="10"/>
  <c r="R18" i="10"/>
  <c r="R19" i="10"/>
  <c r="R20" i="10"/>
  <c r="R4" i="10"/>
  <c r="K28" i="10"/>
  <c r="K21" i="10"/>
  <c r="K20" i="10"/>
  <c r="K12" i="10"/>
  <c r="Q33" i="10" l="1"/>
  <c r="P33" i="10"/>
  <c r="O33" i="10"/>
  <c r="N33" i="10"/>
  <c r="M33" i="10"/>
  <c r="L33" i="10"/>
  <c r="K33" i="10"/>
  <c r="Q32" i="10"/>
  <c r="P32" i="10"/>
  <c r="O32" i="10"/>
  <c r="N32" i="10"/>
  <c r="M32" i="10"/>
  <c r="L32" i="10"/>
  <c r="K32" i="10"/>
  <c r="Q31" i="10"/>
  <c r="P31" i="10"/>
  <c r="O31" i="10"/>
  <c r="N31" i="10"/>
  <c r="M31" i="10"/>
  <c r="L31" i="10"/>
  <c r="K31" i="10"/>
  <c r="Q30" i="10"/>
  <c r="P30" i="10"/>
  <c r="O30" i="10"/>
  <c r="N30" i="10"/>
  <c r="M30" i="10"/>
  <c r="L30" i="10"/>
  <c r="K30" i="10"/>
  <c r="Q29" i="10"/>
  <c r="P29" i="10"/>
  <c r="O29" i="10"/>
  <c r="N29" i="10"/>
  <c r="M29" i="10"/>
  <c r="L29" i="10"/>
  <c r="K29" i="10"/>
  <c r="Q28" i="10"/>
  <c r="P28" i="10"/>
  <c r="O28" i="10"/>
  <c r="N28" i="10"/>
  <c r="M28" i="10"/>
  <c r="L28" i="10"/>
  <c r="Q27" i="10"/>
  <c r="P27" i="10"/>
  <c r="O27" i="10"/>
  <c r="N27" i="10"/>
  <c r="M27" i="10"/>
  <c r="L27" i="10"/>
  <c r="Q26" i="10"/>
  <c r="P26" i="10"/>
  <c r="O26" i="10"/>
  <c r="N26" i="10"/>
  <c r="M26" i="10"/>
  <c r="L26" i="10"/>
  <c r="K26" i="10"/>
  <c r="Q25" i="10"/>
  <c r="P25" i="10"/>
  <c r="O25" i="10"/>
  <c r="N25" i="10"/>
  <c r="M25" i="10"/>
  <c r="L25" i="10"/>
  <c r="K25" i="10"/>
  <c r="Q24" i="10"/>
  <c r="P24" i="10"/>
  <c r="O24" i="10"/>
  <c r="N24" i="10"/>
  <c r="M24" i="10"/>
  <c r="L24" i="10"/>
  <c r="K24" i="10"/>
  <c r="Q23" i="10"/>
  <c r="P23" i="10"/>
  <c r="O23" i="10"/>
  <c r="N23" i="10"/>
  <c r="M23" i="10"/>
  <c r="L23" i="10"/>
  <c r="K23" i="10"/>
  <c r="Q22" i="10"/>
  <c r="P22" i="10"/>
  <c r="O22" i="10"/>
  <c r="N22" i="10"/>
  <c r="M22" i="10"/>
  <c r="L22" i="10"/>
  <c r="K22" i="10"/>
  <c r="Q21" i="10"/>
  <c r="P21" i="10"/>
  <c r="O21" i="10"/>
  <c r="N21" i="10"/>
  <c r="M21" i="10"/>
  <c r="L21" i="10"/>
  <c r="Q20" i="10"/>
  <c r="P20" i="10"/>
  <c r="O20" i="10"/>
  <c r="N20" i="10"/>
  <c r="M20" i="10"/>
  <c r="L20" i="10"/>
  <c r="Q19" i="10"/>
  <c r="P19" i="10"/>
  <c r="O19" i="10"/>
  <c r="N19" i="10"/>
  <c r="M19" i="10"/>
  <c r="L19" i="10"/>
  <c r="K19" i="10"/>
  <c r="Q18" i="10"/>
  <c r="P18" i="10"/>
  <c r="O18" i="10"/>
  <c r="N18" i="10"/>
  <c r="M18" i="10"/>
  <c r="L18" i="10"/>
  <c r="K18" i="10"/>
  <c r="Q17" i="10"/>
  <c r="P17" i="10"/>
  <c r="O17" i="10"/>
  <c r="N17" i="10"/>
  <c r="M17" i="10"/>
  <c r="L17" i="10"/>
  <c r="K17" i="10"/>
  <c r="Q16" i="10"/>
  <c r="P16" i="10"/>
  <c r="O16" i="10"/>
  <c r="N16" i="10"/>
  <c r="M16" i="10"/>
  <c r="L16" i="10"/>
  <c r="K16" i="10"/>
  <c r="Q15" i="10"/>
  <c r="P15" i="10"/>
  <c r="O15" i="10"/>
  <c r="N15" i="10"/>
  <c r="M15" i="10"/>
  <c r="L15" i="10"/>
  <c r="K15" i="10"/>
  <c r="Q14" i="10"/>
  <c r="P14" i="10"/>
  <c r="O14" i="10"/>
  <c r="N14" i="10"/>
  <c r="M14" i="10"/>
  <c r="L14" i="10"/>
  <c r="Q13" i="10"/>
  <c r="P13" i="10"/>
  <c r="O13" i="10"/>
  <c r="N13" i="10"/>
  <c r="M13" i="10"/>
  <c r="L13" i="10"/>
  <c r="Q12" i="10"/>
  <c r="P12" i="10"/>
  <c r="O12" i="10"/>
  <c r="N12" i="10"/>
  <c r="M12" i="10"/>
  <c r="L12" i="10"/>
  <c r="Q11" i="10"/>
  <c r="P11" i="10"/>
  <c r="O11" i="10"/>
  <c r="N11" i="10"/>
  <c r="M11" i="10"/>
  <c r="L11" i="10"/>
  <c r="K11" i="10"/>
  <c r="Q10" i="10"/>
  <c r="P10" i="10"/>
  <c r="O10" i="10"/>
  <c r="N10" i="10"/>
  <c r="M10" i="10"/>
  <c r="L10" i="10"/>
  <c r="K10" i="10"/>
  <c r="Q9" i="10"/>
  <c r="P9" i="10"/>
  <c r="O9" i="10"/>
  <c r="N9" i="10"/>
  <c r="M9" i="10"/>
  <c r="L9" i="10"/>
  <c r="K9" i="10"/>
  <c r="Q8" i="10"/>
  <c r="P8" i="10"/>
  <c r="O8" i="10"/>
  <c r="N8" i="10"/>
  <c r="M8" i="10"/>
  <c r="L8" i="10"/>
  <c r="K8" i="10"/>
  <c r="Q7" i="10"/>
  <c r="P7" i="10"/>
  <c r="O7" i="10"/>
  <c r="N7" i="10"/>
  <c r="M7" i="10"/>
  <c r="L7" i="10"/>
  <c r="K7" i="10"/>
  <c r="Q6" i="10"/>
  <c r="P6" i="10"/>
  <c r="O6" i="10"/>
  <c r="N6" i="10"/>
  <c r="M6" i="10"/>
  <c r="L6" i="10"/>
  <c r="K6" i="10"/>
  <c r="Q5" i="10"/>
  <c r="P5" i="10"/>
  <c r="O5" i="10"/>
  <c r="N5" i="10"/>
  <c r="M5" i="10"/>
  <c r="L5" i="10"/>
  <c r="K5" i="10"/>
  <c r="Q4" i="10"/>
  <c r="P4" i="10"/>
  <c r="O4" i="10"/>
  <c r="N4" i="10"/>
  <c r="M4" i="10"/>
  <c r="L4" i="10"/>
  <c r="K4" i="10"/>
  <c r="F36" i="4"/>
  <c r="B36" i="4"/>
  <c r="F36" i="10" l="1"/>
  <c r="C36" i="10"/>
  <c r="B36" i="10"/>
  <c r="H36" i="10"/>
  <c r="G36" i="10"/>
  <c r="D36" i="10"/>
  <c r="E36" i="10"/>
  <c r="C37" i="4"/>
  <c r="G37" i="4"/>
  <c r="D37" i="4"/>
  <c r="H37" i="4"/>
  <c r="C36" i="4"/>
  <c r="G36" i="4"/>
  <c r="E37" i="4"/>
  <c r="D36" i="4"/>
  <c r="H36" i="4"/>
  <c r="E36" i="9"/>
  <c r="B37" i="4"/>
  <c r="F37" i="4"/>
  <c r="E36" i="4"/>
  <c r="G35" i="9"/>
  <c r="G37" i="9"/>
  <c r="B36" i="9"/>
  <c r="D37" i="9"/>
  <c r="D35" i="9"/>
  <c r="H37" i="9"/>
  <c r="H35" i="9"/>
  <c r="C36" i="9"/>
  <c r="G36" i="9"/>
  <c r="H36" i="9"/>
  <c r="B35" i="9"/>
  <c r="B37" i="9"/>
  <c r="F37" i="9"/>
  <c r="F35" i="9"/>
  <c r="C35" i="9"/>
  <c r="C37" i="9"/>
  <c r="F36" i="9"/>
  <c r="E35" i="9"/>
  <c r="E37" i="9"/>
  <c r="D36" i="9"/>
  <c r="D37" i="10"/>
  <c r="D35" i="10"/>
  <c r="E35" i="10"/>
  <c r="E37" i="10"/>
  <c r="H37" i="10"/>
  <c r="H35" i="10"/>
  <c r="B35" i="10"/>
  <c r="B37" i="10"/>
  <c r="F35" i="10"/>
  <c r="F37" i="10"/>
  <c r="C35" i="10"/>
  <c r="C37" i="10"/>
  <c r="G35" i="10"/>
  <c r="G37" i="10"/>
  <c r="J37" i="4" l="1"/>
</calcChain>
</file>

<file path=xl/sharedStrings.xml><?xml version="1.0" encoding="utf-8"?>
<sst xmlns="http://schemas.openxmlformats.org/spreadsheetml/2006/main" count="50" uniqueCount="27">
  <si>
    <t>최대값</t>
    <phoneticPr fontId="1" type="noConversion"/>
  </si>
  <si>
    <t>최소값</t>
    <phoneticPr fontId="1" type="noConversion"/>
  </si>
  <si>
    <t>평균</t>
    <phoneticPr fontId="1" type="noConversion"/>
  </si>
  <si>
    <t>PH</t>
    <phoneticPr fontId="1" type="noConversion"/>
  </si>
  <si>
    <t>BOD</t>
    <phoneticPr fontId="1" type="noConversion"/>
  </si>
  <si>
    <t>SS</t>
    <phoneticPr fontId="1" type="noConversion"/>
  </si>
  <si>
    <t>T-N</t>
    <phoneticPr fontId="1" type="noConversion"/>
  </si>
  <si>
    <t>T-P</t>
    <phoneticPr fontId="1" type="noConversion"/>
  </si>
  <si>
    <t>대장균군수</t>
    <phoneticPr fontId="1" type="noConversion"/>
  </si>
  <si>
    <t>방류량</t>
    <phoneticPr fontId="1" type="noConversion"/>
  </si>
  <si>
    <t>방류수 수질(㎎/ℓ)</t>
    <phoneticPr fontId="1" type="noConversion"/>
  </si>
  <si>
    <t>유입량</t>
    <phoneticPr fontId="1" type="noConversion"/>
  </si>
  <si>
    <t>유입수 수질(㎎/ℓ)</t>
    <phoneticPr fontId="1" type="noConversion"/>
  </si>
  <si>
    <t>총인 유입수 수질(㎎/ℓ)</t>
    <phoneticPr fontId="1" type="noConversion"/>
  </si>
  <si>
    <t xml:space="preserve">        구분
 날짜</t>
    <phoneticPr fontId="1" type="noConversion"/>
  </si>
  <si>
    <t>일.xlsx]COD'!$K$34</t>
    <phoneticPr fontId="1" type="noConversion"/>
  </si>
  <si>
    <t>일.xlsx]SS'!$K$28</t>
  </si>
  <si>
    <t>일.xlsx]TN'!$H$28</t>
  </si>
  <si>
    <t>일.xlsx]TP'!$H$28</t>
  </si>
  <si>
    <t>일.xlsx]총대장균'!$J$28</t>
    <phoneticPr fontId="1" type="noConversion"/>
  </si>
  <si>
    <t>일.xlsx]일반사항'!$C$26</t>
    <phoneticPr fontId="1" type="noConversion"/>
  </si>
  <si>
    <t>비고</t>
    <phoneticPr fontId="1" type="noConversion"/>
  </si>
  <si>
    <t>수온</t>
    <phoneticPr fontId="1" type="noConversion"/>
  </si>
  <si>
    <t>TOC</t>
    <phoneticPr fontId="1" type="noConversion"/>
  </si>
  <si>
    <t>■ 황간공공하수처리시설 월보 (7월) - 유입수</t>
  </si>
  <si>
    <t>■ 황간공공하수처리시설 월보 (7월) - 총인유입수</t>
  </si>
  <si>
    <t>■ 황간공공하수처리시설 월보 (8월) - 방류수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</si>
</sst>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1" formatCode="_-* #,##0_-;\-* #,##0_-;_-* &quot;-&quot;_-;_-@_-"/>
    <numFmt numFmtId="43" formatCode="_-* #,##0.00_-;\-* #,##0.00_-;_-* &quot;-&quot;??_-;_-@_-"/>
    <numFmt numFmtId="176" formatCode="mm&quot;월&quot;\ dd&quot;일&quot;"/>
    <numFmt numFmtId="177" formatCode="#,##0_ "/>
    <numFmt numFmtId="178" formatCode="0.00_ "/>
    <numFmt numFmtId="179" formatCode="0.0_);[Red]\(0.0\)"/>
    <numFmt numFmtId="180" formatCode="0.000_);[Red]\(0.000\)"/>
    <numFmt numFmtId="181" formatCode="0.00_);[Red]\(0.00\)"/>
    <numFmt numFmtId="182" formatCode="0.0"/>
    <numFmt numFmtId="183" formatCode="_-* #,##0.000_-;\-* #,##0.000_-;_-* &quot;-&quot;???_-;_-@_-"/>
    <numFmt numFmtId="184" formatCode="_-* #,##0.0_-;\-* #,##0.0_-;_-* &quot;-&quot;?_-;_-@_-"/>
    <numFmt numFmtId="185" formatCode="_-* #,##0_-;\-* #,##0_-;_-* &quot;-&quot;??_-;_-@_-"/>
    <numFmt numFmtId="186" formatCode="0_);[Red]\(0\)"/>
    <numFmt numFmtId="187" formatCode="#,##0_);[Red]\(#,##0\)"/>
    <numFmt numFmtId="188" formatCode="0.0_ "/>
  </numFmts>
  <fonts count="10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</font>
    <font>
      <b/>
      <sz val="12"/>
      <color theme="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1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thin">
        <color auto="1"/>
      </bottom>
      <diagonal/>
    </border>
    <border diagonalDown="1">
      <left style="medium">
        <color auto="1"/>
      </left>
      <right style="thin">
        <color auto="1"/>
      </right>
      <top style="medium">
        <color auto="1"/>
      </top>
      <bottom/>
      <diagonal style="hair">
        <color auto="1"/>
      </diagonal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 diagonalDown="1">
      <left style="medium">
        <color auto="1"/>
      </left>
      <right style="thin">
        <color auto="1"/>
      </right>
      <top/>
      <bottom style="double">
        <color auto="1"/>
      </bottom>
      <diagonal style="hair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41" fontId="5" fillId="0" borderId="0" applyFont="0" applyFill="0" applyBorder="0" applyAlignment="0" applyProtection="0">
      <alignment vertical="center"/>
    </xf>
  </cellStyleXfs>
  <cellXfs count="123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8" fontId="0" fillId="0" borderId="0" xfId="0" applyNumberFormat="1">
      <alignment vertical="center"/>
    </xf>
    <xf numFmtId="179" fontId="0" fillId="0" borderId="2" xfId="0" applyNumberFormat="1" applyBorder="1" applyAlignment="1">
      <alignment horizontal="center" vertical="center"/>
    </xf>
    <xf numFmtId="179" fontId="0" fillId="0" borderId="0" xfId="0" applyNumberFormat="1">
      <alignment vertical="center"/>
    </xf>
    <xf numFmtId="180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>
      <alignment vertical="center"/>
    </xf>
    <xf numFmtId="178" fontId="2" fillId="0" borderId="15" xfId="0" applyNumberFormat="1" applyFont="1" applyBorder="1" applyAlignment="1">
      <alignment horizontal="center" vertical="center"/>
    </xf>
    <xf numFmtId="179" fontId="2" fillId="0" borderId="15" xfId="0" applyNumberFormat="1" applyFont="1" applyBorder="1" applyAlignment="1">
      <alignment horizontal="center" vertical="center"/>
    </xf>
    <xf numFmtId="180" fontId="2" fillId="0" borderId="15" xfId="0" applyNumberFormat="1" applyFont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177" fontId="2" fillId="0" borderId="15" xfId="0" applyNumberFormat="1" applyFont="1" applyBorder="1" applyAlignment="1">
      <alignment horizontal="center" vertical="center"/>
    </xf>
    <xf numFmtId="180" fontId="0" fillId="0" borderId="0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81" fontId="8" fillId="0" borderId="2" xfId="1" applyNumberFormat="1" applyFont="1" applyFill="1" applyBorder="1" applyAlignment="1">
      <alignment horizontal="center" vertical="center" shrinkToFit="1"/>
    </xf>
    <xf numFmtId="179" fontId="8" fillId="0" borderId="2" xfId="1" applyNumberFormat="1" applyFont="1" applyFill="1" applyBorder="1" applyAlignment="1">
      <alignment horizontal="center" vertical="center" shrinkToFit="1"/>
    </xf>
    <xf numFmtId="179" fontId="7" fillId="0" borderId="2" xfId="0" applyNumberFormat="1" applyFont="1" applyFill="1" applyBorder="1" applyAlignment="1">
      <alignment horizontal="center" vertical="center"/>
    </xf>
    <xf numFmtId="180" fontId="8" fillId="0" borderId="2" xfId="1" applyNumberFormat="1" applyFont="1" applyFill="1" applyBorder="1" applyAlignment="1">
      <alignment horizontal="center" vertical="center" shrinkToFit="1"/>
    </xf>
    <xf numFmtId="177" fontId="0" fillId="0" borderId="2" xfId="0" applyNumberFormat="1" applyFill="1" applyBorder="1" applyAlignment="1">
      <alignment horizontal="center" vertical="center"/>
    </xf>
    <xf numFmtId="176" fontId="0" fillId="0" borderId="6" xfId="0" applyNumberFormat="1" applyFill="1" applyBorder="1" applyAlignment="1">
      <alignment horizontal="center" vertical="center"/>
    </xf>
    <xf numFmtId="179" fontId="7" fillId="0" borderId="7" xfId="0" applyNumberFormat="1" applyFont="1" applyFill="1" applyBorder="1" applyAlignment="1">
      <alignment horizontal="center" vertical="center"/>
    </xf>
    <xf numFmtId="180" fontId="8" fillId="0" borderId="7" xfId="1" applyNumberFormat="1" applyFont="1" applyFill="1" applyBorder="1" applyAlignment="1">
      <alignment horizontal="center" vertical="center" shrinkToFit="1"/>
    </xf>
    <xf numFmtId="177" fontId="0" fillId="0" borderId="7" xfId="0" applyNumberForma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182" fontId="9" fillId="0" borderId="11" xfId="0" applyNumberFormat="1" applyFont="1" applyFill="1" applyBorder="1" applyAlignment="1">
      <alignment horizontal="center" vertical="center" shrinkToFit="1"/>
    </xf>
    <xf numFmtId="182" fontId="9" fillId="0" borderId="3" xfId="0" applyNumberFormat="1" applyFont="1" applyFill="1" applyBorder="1" applyAlignment="1">
      <alignment horizontal="center" vertical="center" shrinkToFit="1"/>
    </xf>
    <xf numFmtId="176" fontId="0" fillId="0" borderId="19" xfId="0" applyNumberFormat="1" applyFill="1" applyBorder="1" applyAlignment="1">
      <alignment horizontal="center" vertical="center"/>
    </xf>
    <xf numFmtId="181" fontId="8" fillId="0" borderId="15" xfId="1" applyNumberFormat="1" applyFont="1" applyFill="1" applyBorder="1" applyAlignment="1">
      <alignment horizontal="center" vertical="center" shrinkToFit="1"/>
    </xf>
    <xf numFmtId="179" fontId="8" fillId="0" borderId="15" xfId="1" applyNumberFormat="1" applyFont="1" applyFill="1" applyBorder="1" applyAlignment="1">
      <alignment horizontal="center" vertical="center" shrinkToFit="1"/>
    </xf>
    <xf numFmtId="179" fontId="7" fillId="0" borderId="15" xfId="0" applyNumberFormat="1" applyFont="1" applyFill="1" applyBorder="1" applyAlignment="1">
      <alignment horizontal="center" vertical="center"/>
    </xf>
    <xf numFmtId="180" fontId="8" fillId="0" borderId="15" xfId="1" applyNumberFormat="1" applyFont="1" applyFill="1" applyBorder="1" applyAlignment="1">
      <alignment horizontal="center" vertical="center" shrinkToFit="1"/>
    </xf>
    <xf numFmtId="177" fontId="0" fillId="0" borderId="15" xfId="0" applyNumberFormat="1" applyFill="1" applyBorder="1" applyAlignment="1">
      <alignment horizontal="center" vertical="center"/>
    </xf>
    <xf numFmtId="182" fontId="9" fillId="0" borderId="16" xfId="0" applyNumberFormat="1" applyFont="1" applyFill="1" applyBorder="1" applyAlignment="1">
      <alignment horizontal="center" vertical="center" shrinkToFit="1"/>
    </xf>
    <xf numFmtId="179" fontId="0" fillId="0" borderId="18" xfId="0" applyNumberFormat="1" applyBorder="1" applyAlignment="1">
      <alignment horizontal="center" vertical="center"/>
    </xf>
    <xf numFmtId="179" fontId="0" fillId="0" borderId="5" xfId="0" applyNumberFormat="1" applyBorder="1" applyAlignment="1">
      <alignment horizontal="center" vertical="center"/>
    </xf>
    <xf numFmtId="181" fontId="0" fillId="0" borderId="18" xfId="0" applyNumberFormat="1" applyBorder="1" applyAlignment="1">
      <alignment horizontal="center" vertical="center"/>
    </xf>
    <xf numFmtId="181" fontId="0" fillId="0" borderId="2" xfId="0" applyNumberFormat="1" applyBorder="1" applyAlignment="1">
      <alignment horizontal="center" vertical="center"/>
    </xf>
    <xf numFmtId="181" fontId="0" fillId="0" borderId="5" xfId="0" applyNumberFormat="1" applyBorder="1" applyAlignment="1">
      <alignment horizontal="center" vertical="center"/>
    </xf>
    <xf numFmtId="180" fontId="0" fillId="0" borderId="18" xfId="0" applyNumberFormat="1" applyBorder="1" applyAlignment="1">
      <alignment horizontal="center" vertical="center"/>
    </xf>
    <xf numFmtId="180" fontId="0" fillId="0" borderId="2" xfId="0" applyNumberFormat="1" applyBorder="1" applyAlignment="1">
      <alignment horizontal="center" vertical="center"/>
    </xf>
    <xf numFmtId="180" fontId="0" fillId="0" borderId="5" xfId="0" applyNumberFormat="1" applyBorder="1" applyAlignment="1">
      <alignment horizontal="center" vertical="center"/>
    </xf>
    <xf numFmtId="179" fontId="0" fillId="2" borderId="0" xfId="0" applyNumberFormat="1" applyFill="1">
      <alignment vertical="center"/>
    </xf>
    <xf numFmtId="179" fontId="2" fillId="3" borderId="15" xfId="0" applyNumberFormat="1" applyFont="1" applyFill="1" applyBorder="1" applyAlignment="1">
      <alignment horizontal="center" vertical="center"/>
    </xf>
    <xf numFmtId="179" fontId="8" fillId="3" borderId="2" xfId="1" applyNumberFormat="1" applyFont="1" applyFill="1" applyBorder="1" applyAlignment="1">
      <alignment horizontal="center" vertical="center" shrinkToFit="1"/>
    </xf>
    <xf numFmtId="179" fontId="8" fillId="3" borderId="15" xfId="1" applyNumberFormat="1" applyFont="1" applyFill="1" applyBorder="1" applyAlignment="1">
      <alignment horizontal="center" vertical="center" shrinkToFit="1"/>
    </xf>
    <xf numFmtId="41" fontId="0" fillId="0" borderId="2" xfId="0" applyNumberFormat="1" applyFill="1" applyBorder="1" applyAlignment="1">
      <alignment horizontal="center" vertical="center"/>
    </xf>
    <xf numFmtId="183" fontId="8" fillId="0" borderId="2" xfId="1" applyNumberFormat="1" applyFont="1" applyFill="1" applyBorder="1" applyAlignment="1">
      <alignment horizontal="center" vertical="center" shrinkToFit="1"/>
    </xf>
    <xf numFmtId="183" fontId="8" fillId="0" borderId="15" xfId="1" applyNumberFormat="1" applyFont="1" applyFill="1" applyBorder="1" applyAlignment="1">
      <alignment horizontal="center" vertical="center" shrinkToFit="1"/>
    </xf>
    <xf numFmtId="41" fontId="0" fillId="0" borderId="15" xfId="0" applyNumberFormat="1" applyFill="1" applyBorder="1" applyAlignment="1">
      <alignment horizontal="center" vertical="center"/>
    </xf>
    <xf numFmtId="184" fontId="8" fillId="3" borderId="2" xfId="1" applyNumberFormat="1" applyFont="1" applyFill="1" applyBorder="1" applyAlignment="1">
      <alignment horizontal="center" vertical="center" shrinkToFit="1"/>
    </xf>
    <xf numFmtId="184" fontId="8" fillId="0" borderId="2" xfId="1" applyNumberFormat="1" applyFont="1" applyFill="1" applyBorder="1" applyAlignment="1">
      <alignment horizontal="center" vertical="center" shrinkToFit="1"/>
    </xf>
    <xf numFmtId="184" fontId="7" fillId="0" borderId="2" xfId="0" applyNumberFormat="1" applyFont="1" applyFill="1" applyBorder="1" applyAlignment="1">
      <alignment horizontal="center" vertical="center"/>
    </xf>
    <xf numFmtId="184" fontId="8" fillId="3" borderId="15" xfId="1" applyNumberFormat="1" applyFont="1" applyFill="1" applyBorder="1" applyAlignment="1">
      <alignment horizontal="center" vertical="center" shrinkToFit="1"/>
    </xf>
    <xf numFmtId="184" fontId="8" fillId="0" borderId="15" xfId="1" applyNumberFormat="1" applyFont="1" applyFill="1" applyBorder="1" applyAlignment="1">
      <alignment horizontal="center" vertical="center" shrinkToFit="1"/>
    </xf>
    <xf numFmtId="184" fontId="7" fillId="0" borderId="15" xfId="0" applyNumberFormat="1" applyFont="1" applyFill="1" applyBorder="1" applyAlignment="1">
      <alignment horizontal="center" vertical="center"/>
    </xf>
    <xf numFmtId="43" fontId="8" fillId="0" borderId="7" xfId="1" applyNumberFormat="1" applyFont="1" applyFill="1" applyBorder="1" applyAlignment="1">
      <alignment horizontal="center" vertical="center" shrinkToFit="1"/>
    </xf>
    <xf numFmtId="43" fontId="8" fillId="0" borderId="2" xfId="1" applyNumberFormat="1" applyFont="1" applyFill="1" applyBorder="1" applyAlignment="1">
      <alignment horizontal="center" vertical="center" shrinkToFit="1"/>
    </xf>
    <xf numFmtId="43" fontId="8" fillId="0" borderId="15" xfId="1" applyNumberFormat="1" applyFont="1" applyFill="1" applyBorder="1" applyAlignment="1">
      <alignment horizontal="center" vertical="center" shrinkToFit="1"/>
    </xf>
    <xf numFmtId="185" fontId="0" fillId="0" borderId="0" xfId="0" applyNumberFormat="1">
      <alignment vertical="center"/>
    </xf>
    <xf numFmtId="178" fontId="0" fillId="0" borderId="0" xfId="0" applyNumberFormat="1" applyFill="1" applyBorder="1" applyAlignment="1">
      <alignment horizontal="center"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0" xfId="0" applyBorder="1">
      <alignment vertical="center"/>
    </xf>
    <xf numFmtId="0" fontId="0" fillId="0" borderId="24" xfId="0" applyBorder="1">
      <alignment vertical="center"/>
    </xf>
    <xf numFmtId="43" fontId="0" fillId="0" borderId="18" xfId="0" applyNumberFormat="1" applyFill="1" applyBorder="1" applyAlignment="1">
      <alignment horizontal="center" vertical="center"/>
    </xf>
    <xf numFmtId="184" fontId="0" fillId="0" borderId="18" xfId="0" applyNumberFormat="1" applyFill="1" applyBorder="1" applyAlignment="1">
      <alignment horizontal="center" vertical="center"/>
    </xf>
    <xf numFmtId="183" fontId="0" fillId="0" borderId="18" xfId="0" applyNumberFormat="1" applyFill="1" applyBorder="1" applyAlignment="1">
      <alignment horizontal="center" vertical="center"/>
    </xf>
    <xf numFmtId="41" fontId="0" fillId="0" borderId="18" xfId="0" applyNumberFormat="1" applyFill="1" applyBorder="1" applyAlignment="1">
      <alignment horizontal="center" vertical="center"/>
    </xf>
    <xf numFmtId="43" fontId="0" fillId="0" borderId="2" xfId="0" applyNumberFormat="1" applyFill="1" applyBorder="1" applyAlignment="1">
      <alignment horizontal="center" vertical="center"/>
    </xf>
    <xf numFmtId="184" fontId="0" fillId="0" borderId="2" xfId="0" applyNumberFormat="1" applyFill="1" applyBorder="1" applyAlignment="1">
      <alignment horizontal="center" vertical="center"/>
    </xf>
    <xf numFmtId="183" fontId="0" fillId="0" borderId="2" xfId="0" applyNumberFormat="1" applyFill="1" applyBorder="1" applyAlignment="1">
      <alignment horizontal="center" vertical="center"/>
    </xf>
    <xf numFmtId="43" fontId="0" fillId="0" borderId="5" xfId="0" applyNumberFormat="1" applyFill="1" applyBorder="1" applyAlignment="1">
      <alignment horizontal="center" vertical="center"/>
    </xf>
    <xf numFmtId="184" fontId="0" fillId="0" borderId="5" xfId="0" applyNumberFormat="1" applyFill="1" applyBorder="1" applyAlignment="1">
      <alignment horizontal="center" vertical="center"/>
    </xf>
    <xf numFmtId="183" fontId="0" fillId="0" borderId="5" xfId="0" applyNumberFormat="1" applyFill="1" applyBorder="1" applyAlignment="1">
      <alignment horizontal="center" vertical="center"/>
    </xf>
    <xf numFmtId="41" fontId="0" fillId="0" borderId="5" xfId="0" applyNumberFormat="1" applyFill="1" applyBorder="1" applyAlignment="1">
      <alignment horizontal="center" vertical="center"/>
    </xf>
    <xf numFmtId="182" fontId="0" fillId="0" borderId="3" xfId="0" applyNumberFormat="1" applyBorder="1" applyAlignment="1">
      <alignment horizontal="center" vertical="center"/>
    </xf>
    <xf numFmtId="182" fontId="0" fillId="0" borderId="25" xfId="0" applyNumberFormat="1" applyBorder="1" applyAlignment="1">
      <alignment horizontal="center" vertical="center"/>
    </xf>
    <xf numFmtId="186" fontId="0" fillId="0" borderId="18" xfId="0" applyNumberFormat="1" applyBorder="1" applyAlignment="1">
      <alignment horizontal="center" vertical="center"/>
    </xf>
    <xf numFmtId="186" fontId="0" fillId="0" borderId="2" xfId="0" applyNumberFormat="1" applyBorder="1" applyAlignment="1">
      <alignment horizontal="center" vertical="center"/>
    </xf>
    <xf numFmtId="186" fontId="0" fillId="0" borderId="5" xfId="0" applyNumberFormat="1" applyBorder="1" applyAlignment="1">
      <alignment horizontal="center" vertical="center"/>
    </xf>
    <xf numFmtId="179" fontId="0" fillId="0" borderId="26" xfId="0" applyNumberFormat="1" applyBorder="1" applyAlignment="1">
      <alignment horizontal="center" vertical="center"/>
    </xf>
    <xf numFmtId="179" fontId="0" fillId="0" borderId="3" xfId="0" applyNumberFormat="1" applyBorder="1" applyAlignment="1">
      <alignment horizontal="center" vertical="center"/>
    </xf>
    <xf numFmtId="179" fontId="0" fillId="0" borderId="25" xfId="0" applyNumberFormat="1" applyBorder="1" applyAlignment="1">
      <alignment horizontal="center" vertical="center"/>
    </xf>
    <xf numFmtId="182" fontId="0" fillId="0" borderId="26" xfId="0" applyNumberFormat="1" applyBorder="1" applyAlignment="1">
      <alignment horizontal="center" vertical="center"/>
    </xf>
    <xf numFmtId="181" fontId="8" fillId="0" borderId="7" xfId="1" applyNumberFormat="1" applyFont="1" applyFill="1" applyBorder="1" applyAlignment="1">
      <alignment horizontal="center" vertical="center" shrinkToFit="1"/>
    </xf>
    <xf numFmtId="179" fontId="8" fillId="3" borderId="7" xfId="1" applyNumberFormat="1" applyFont="1" applyFill="1" applyBorder="1" applyAlignment="1">
      <alignment horizontal="center" vertical="center" shrinkToFit="1"/>
    </xf>
    <xf numFmtId="179" fontId="8" fillId="0" borderId="7" xfId="1" applyNumberFormat="1" applyFont="1" applyFill="1" applyBorder="1" applyAlignment="1">
      <alignment horizontal="center" vertical="center" shrinkToFit="1"/>
    </xf>
    <xf numFmtId="184" fontId="8" fillId="3" borderId="7" xfId="1" applyNumberFormat="1" applyFont="1" applyFill="1" applyBorder="1" applyAlignment="1">
      <alignment horizontal="center" vertical="center" shrinkToFit="1"/>
    </xf>
    <xf numFmtId="184" fontId="8" fillId="0" borderId="7" xfId="1" applyNumberFormat="1" applyFont="1" applyFill="1" applyBorder="1" applyAlignment="1">
      <alignment horizontal="center" vertical="center" shrinkToFit="1"/>
    </xf>
    <xf numFmtId="184" fontId="7" fillId="0" borderId="7" xfId="0" applyNumberFormat="1" applyFont="1" applyFill="1" applyBorder="1" applyAlignment="1">
      <alignment horizontal="center" vertical="center"/>
    </xf>
    <xf numFmtId="183" fontId="8" fillId="0" borderId="7" xfId="1" applyNumberFormat="1" applyFont="1" applyFill="1" applyBorder="1" applyAlignment="1">
      <alignment horizontal="center" vertical="center" shrinkToFit="1"/>
    </xf>
    <xf numFmtId="41" fontId="0" fillId="0" borderId="7" xfId="0" applyNumberFormat="1" applyFill="1" applyBorder="1" applyAlignment="1">
      <alignment horizontal="center" vertical="center"/>
    </xf>
    <xf numFmtId="179" fontId="8" fillId="0" borderId="0" xfId="1" applyNumberFormat="1" applyFont="1" applyFill="1" applyBorder="1" applyAlignment="1">
      <alignment horizontal="center" vertical="center" shrinkToFit="1"/>
    </xf>
    <xf numFmtId="187" fontId="0" fillId="0" borderId="18" xfId="0" applyNumberFormat="1" applyBorder="1" applyAlignment="1">
      <alignment horizontal="center" vertical="center"/>
    </xf>
    <xf numFmtId="187" fontId="0" fillId="0" borderId="2" xfId="0" applyNumberFormat="1" applyBorder="1" applyAlignment="1">
      <alignment horizontal="center" vertical="center"/>
    </xf>
    <xf numFmtId="187" fontId="0" fillId="0" borderId="5" xfId="0" applyNumberFormat="1" applyBorder="1" applyAlignment="1">
      <alignment horizontal="center" vertical="center"/>
    </xf>
    <xf numFmtId="188" fontId="2" fillId="0" borderId="15" xfId="0" applyNumberFormat="1" applyFont="1" applyBorder="1" applyAlignment="1">
      <alignment horizontal="center" vertical="center"/>
    </xf>
    <xf numFmtId="188" fontId="2" fillId="3" borderId="15" xfId="0" applyNumberFormat="1" applyFont="1" applyFill="1" applyBorder="1" applyAlignment="1">
      <alignment horizontal="center" vertical="center"/>
    </xf>
    <xf numFmtId="188" fontId="8" fillId="0" borderId="7" xfId="1" applyNumberFormat="1" applyFont="1" applyFill="1" applyBorder="1" applyAlignment="1">
      <alignment horizontal="center" vertical="center" shrinkToFit="1"/>
    </xf>
    <xf numFmtId="188" fontId="8" fillId="3" borderId="7" xfId="1" applyNumberFormat="1" applyFont="1" applyFill="1" applyBorder="1" applyAlignment="1">
      <alignment horizontal="center" vertical="center" shrinkToFit="1"/>
    </xf>
    <xf numFmtId="188" fontId="7" fillId="0" borderId="7" xfId="0" applyNumberFormat="1" applyFont="1" applyFill="1" applyBorder="1" applyAlignment="1">
      <alignment horizontal="center" vertical="center"/>
    </xf>
    <xf numFmtId="188" fontId="8" fillId="0" borderId="2" xfId="1" applyNumberFormat="1" applyFont="1" applyFill="1" applyBorder="1" applyAlignment="1">
      <alignment horizontal="center" vertical="center" shrinkToFit="1"/>
    </xf>
    <xf numFmtId="188" fontId="8" fillId="3" borderId="2" xfId="1" applyNumberFormat="1" applyFont="1" applyFill="1" applyBorder="1" applyAlignment="1">
      <alignment horizontal="center" vertical="center" shrinkToFit="1"/>
    </xf>
    <xf numFmtId="188" fontId="7" fillId="0" borderId="2" xfId="0" applyNumberFormat="1" applyFont="1" applyFill="1" applyBorder="1" applyAlignment="1">
      <alignment horizontal="center" vertical="center"/>
    </xf>
    <xf numFmtId="188" fontId="8" fillId="0" borderId="15" xfId="1" applyNumberFormat="1" applyFont="1" applyFill="1" applyBorder="1" applyAlignment="1">
      <alignment horizontal="center" vertical="center" shrinkToFit="1"/>
    </xf>
    <xf numFmtId="188" fontId="8" fillId="3" borderId="15" xfId="1" applyNumberFormat="1" applyFont="1" applyFill="1" applyBorder="1" applyAlignment="1">
      <alignment horizontal="center" vertical="center" shrinkToFit="1"/>
    </xf>
    <xf numFmtId="188" fontId="7" fillId="0" borderId="15" xfId="0" applyNumberFormat="1" applyFont="1" applyFill="1" applyBorder="1" applyAlignment="1">
      <alignment horizontal="center" vertical="center"/>
    </xf>
    <xf numFmtId="188" fontId="0" fillId="0" borderId="18" xfId="0" applyNumberFormat="1" applyBorder="1" applyAlignment="1">
      <alignment horizontal="center" vertical="center"/>
    </xf>
    <xf numFmtId="188" fontId="0" fillId="0" borderId="2" xfId="0" applyNumberFormat="1" applyBorder="1" applyAlignment="1">
      <alignment horizontal="center" vertical="center"/>
    </xf>
    <xf numFmtId="188" fontId="0" fillId="0" borderId="5" xfId="0" applyNumberFormat="1" applyBorder="1" applyAlignment="1">
      <alignment horizontal="center" vertical="center"/>
    </xf>
    <xf numFmtId="188" fontId="0" fillId="0" borderId="0" xfId="0" applyNumberFormat="1">
      <alignment vertical="center"/>
    </xf>
    <xf numFmtId="188" fontId="0" fillId="2" borderId="0" xfId="0" applyNumberFormat="1" applyFill="1">
      <alignment vertical="center"/>
    </xf>
    <xf numFmtId="0" fontId="3" fillId="0" borderId="17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3">
    <cellStyle name="쉼표 [0] 2" xfId="2"/>
    <cellStyle name="표준" xfId="0" builtinId="0"/>
    <cellStyle name="표준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3.xml"/><Relationship Id="rId21" Type="http://schemas.openxmlformats.org/officeDocument/2006/relationships/externalLink" Target="externalLinks/externalLink18.xml"/><Relationship Id="rId34" Type="http://schemas.openxmlformats.org/officeDocument/2006/relationships/externalLink" Target="externalLinks/externalLink31.xml"/><Relationship Id="rId42" Type="http://schemas.openxmlformats.org/officeDocument/2006/relationships/externalLink" Target="externalLinks/externalLink39.xml"/><Relationship Id="rId47" Type="http://schemas.openxmlformats.org/officeDocument/2006/relationships/externalLink" Target="externalLinks/externalLink44.xml"/><Relationship Id="rId50" Type="http://schemas.openxmlformats.org/officeDocument/2006/relationships/externalLink" Target="externalLinks/externalLink47.xml"/><Relationship Id="rId55" Type="http://schemas.openxmlformats.org/officeDocument/2006/relationships/externalLink" Target="externalLinks/externalLink52.xml"/><Relationship Id="rId63" Type="http://schemas.openxmlformats.org/officeDocument/2006/relationships/externalLink" Target="externalLinks/externalLink60.xml"/><Relationship Id="rId68" Type="http://schemas.openxmlformats.org/officeDocument/2006/relationships/externalLink" Target="externalLinks/externalLink65.xml"/><Relationship Id="rId76" Type="http://schemas.openxmlformats.org/officeDocument/2006/relationships/externalLink" Target="externalLinks/externalLink73.xml"/><Relationship Id="rId84" Type="http://schemas.openxmlformats.org/officeDocument/2006/relationships/externalLink" Target="externalLinks/externalLink81.xml"/><Relationship Id="rId89" Type="http://schemas.openxmlformats.org/officeDocument/2006/relationships/externalLink" Target="externalLinks/externalLink86.xml"/><Relationship Id="rId97" Type="http://schemas.openxmlformats.org/officeDocument/2006/relationships/theme" Target="theme/theme1.xml"/><Relationship Id="rId7" Type="http://schemas.openxmlformats.org/officeDocument/2006/relationships/externalLink" Target="externalLinks/externalLink4.xml"/><Relationship Id="rId71" Type="http://schemas.openxmlformats.org/officeDocument/2006/relationships/externalLink" Target="externalLinks/externalLink68.xml"/><Relationship Id="rId92" Type="http://schemas.openxmlformats.org/officeDocument/2006/relationships/externalLink" Target="externalLinks/externalLink89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9" Type="http://schemas.openxmlformats.org/officeDocument/2006/relationships/externalLink" Target="externalLinks/externalLink26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externalLink" Target="externalLinks/externalLink29.xml"/><Relationship Id="rId37" Type="http://schemas.openxmlformats.org/officeDocument/2006/relationships/externalLink" Target="externalLinks/externalLink34.xml"/><Relationship Id="rId40" Type="http://schemas.openxmlformats.org/officeDocument/2006/relationships/externalLink" Target="externalLinks/externalLink37.xml"/><Relationship Id="rId45" Type="http://schemas.openxmlformats.org/officeDocument/2006/relationships/externalLink" Target="externalLinks/externalLink42.xml"/><Relationship Id="rId53" Type="http://schemas.openxmlformats.org/officeDocument/2006/relationships/externalLink" Target="externalLinks/externalLink50.xml"/><Relationship Id="rId58" Type="http://schemas.openxmlformats.org/officeDocument/2006/relationships/externalLink" Target="externalLinks/externalLink55.xml"/><Relationship Id="rId66" Type="http://schemas.openxmlformats.org/officeDocument/2006/relationships/externalLink" Target="externalLinks/externalLink63.xml"/><Relationship Id="rId74" Type="http://schemas.openxmlformats.org/officeDocument/2006/relationships/externalLink" Target="externalLinks/externalLink71.xml"/><Relationship Id="rId79" Type="http://schemas.openxmlformats.org/officeDocument/2006/relationships/externalLink" Target="externalLinks/externalLink76.xml"/><Relationship Id="rId87" Type="http://schemas.openxmlformats.org/officeDocument/2006/relationships/externalLink" Target="externalLinks/externalLink84.xml"/><Relationship Id="rId5" Type="http://schemas.openxmlformats.org/officeDocument/2006/relationships/externalLink" Target="externalLinks/externalLink2.xml"/><Relationship Id="rId61" Type="http://schemas.openxmlformats.org/officeDocument/2006/relationships/externalLink" Target="externalLinks/externalLink58.xml"/><Relationship Id="rId82" Type="http://schemas.openxmlformats.org/officeDocument/2006/relationships/externalLink" Target="externalLinks/externalLink79.xml"/><Relationship Id="rId90" Type="http://schemas.openxmlformats.org/officeDocument/2006/relationships/externalLink" Target="externalLinks/externalLink87.xml"/><Relationship Id="rId95" Type="http://schemas.openxmlformats.org/officeDocument/2006/relationships/externalLink" Target="externalLinks/externalLink92.xml"/><Relationship Id="rId19" Type="http://schemas.openxmlformats.org/officeDocument/2006/relationships/externalLink" Target="externalLinks/externalLink1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32.xml"/><Relationship Id="rId43" Type="http://schemas.openxmlformats.org/officeDocument/2006/relationships/externalLink" Target="externalLinks/externalLink40.xml"/><Relationship Id="rId48" Type="http://schemas.openxmlformats.org/officeDocument/2006/relationships/externalLink" Target="externalLinks/externalLink45.xml"/><Relationship Id="rId56" Type="http://schemas.openxmlformats.org/officeDocument/2006/relationships/externalLink" Target="externalLinks/externalLink53.xml"/><Relationship Id="rId64" Type="http://schemas.openxmlformats.org/officeDocument/2006/relationships/externalLink" Target="externalLinks/externalLink61.xml"/><Relationship Id="rId69" Type="http://schemas.openxmlformats.org/officeDocument/2006/relationships/externalLink" Target="externalLinks/externalLink66.xml"/><Relationship Id="rId77" Type="http://schemas.openxmlformats.org/officeDocument/2006/relationships/externalLink" Target="externalLinks/externalLink74.xml"/><Relationship Id="rId100" Type="http://schemas.openxmlformats.org/officeDocument/2006/relationships/calcChain" Target="calcChain.xml"/><Relationship Id="rId8" Type="http://schemas.openxmlformats.org/officeDocument/2006/relationships/externalLink" Target="externalLinks/externalLink5.xml"/><Relationship Id="rId51" Type="http://schemas.openxmlformats.org/officeDocument/2006/relationships/externalLink" Target="externalLinks/externalLink48.xml"/><Relationship Id="rId72" Type="http://schemas.openxmlformats.org/officeDocument/2006/relationships/externalLink" Target="externalLinks/externalLink69.xml"/><Relationship Id="rId80" Type="http://schemas.openxmlformats.org/officeDocument/2006/relationships/externalLink" Target="externalLinks/externalLink77.xml"/><Relationship Id="rId85" Type="http://schemas.openxmlformats.org/officeDocument/2006/relationships/externalLink" Target="externalLinks/externalLink82.xml"/><Relationship Id="rId93" Type="http://schemas.openxmlformats.org/officeDocument/2006/relationships/externalLink" Target="externalLinks/externalLink90.xml"/><Relationship Id="rId98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externalLink" Target="externalLinks/externalLink30.xml"/><Relationship Id="rId38" Type="http://schemas.openxmlformats.org/officeDocument/2006/relationships/externalLink" Target="externalLinks/externalLink35.xml"/><Relationship Id="rId46" Type="http://schemas.openxmlformats.org/officeDocument/2006/relationships/externalLink" Target="externalLinks/externalLink43.xml"/><Relationship Id="rId59" Type="http://schemas.openxmlformats.org/officeDocument/2006/relationships/externalLink" Target="externalLinks/externalLink56.xml"/><Relationship Id="rId67" Type="http://schemas.openxmlformats.org/officeDocument/2006/relationships/externalLink" Target="externalLinks/externalLink64.xml"/><Relationship Id="rId20" Type="http://schemas.openxmlformats.org/officeDocument/2006/relationships/externalLink" Target="externalLinks/externalLink17.xml"/><Relationship Id="rId41" Type="http://schemas.openxmlformats.org/officeDocument/2006/relationships/externalLink" Target="externalLinks/externalLink38.xml"/><Relationship Id="rId54" Type="http://schemas.openxmlformats.org/officeDocument/2006/relationships/externalLink" Target="externalLinks/externalLink51.xml"/><Relationship Id="rId62" Type="http://schemas.openxmlformats.org/officeDocument/2006/relationships/externalLink" Target="externalLinks/externalLink59.xml"/><Relationship Id="rId70" Type="http://schemas.openxmlformats.org/officeDocument/2006/relationships/externalLink" Target="externalLinks/externalLink67.xml"/><Relationship Id="rId75" Type="http://schemas.openxmlformats.org/officeDocument/2006/relationships/externalLink" Target="externalLinks/externalLink72.xml"/><Relationship Id="rId83" Type="http://schemas.openxmlformats.org/officeDocument/2006/relationships/externalLink" Target="externalLinks/externalLink80.xml"/><Relationship Id="rId88" Type="http://schemas.openxmlformats.org/officeDocument/2006/relationships/externalLink" Target="externalLinks/externalLink85.xml"/><Relationship Id="rId91" Type="http://schemas.openxmlformats.org/officeDocument/2006/relationships/externalLink" Target="externalLinks/externalLink88.xml"/><Relationship Id="rId96" Type="http://schemas.openxmlformats.org/officeDocument/2006/relationships/externalLink" Target="externalLinks/externalLink9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36" Type="http://schemas.openxmlformats.org/officeDocument/2006/relationships/externalLink" Target="externalLinks/externalLink33.xml"/><Relationship Id="rId49" Type="http://schemas.openxmlformats.org/officeDocument/2006/relationships/externalLink" Target="externalLinks/externalLink46.xml"/><Relationship Id="rId57" Type="http://schemas.openxmlformats.org/officeDocument/2006/relationships/externalLink" Target="externalLinks/externalLink54.xml"/><Relationship Id="rId10" Type="http://schemas.openxmlformats.org/officeDocument/2006/relationships/externalLink" Target="externalLinks/externalLink7.xml"/><Relationship Id="rId31" Type="http://schemas.openxmlformats.org/officeDocument/2006/relationships/externalLink" Target="externalLinks/externalLink28.xml"/><Relationship Id="rId44" Type="http://schemas.openxmlformats.org/officeDocument/2006/relationships/externalLink" Target="externalLinks/externalLink41.xml"/><Relationship Id="rId52" Type="http://schemas.openxmlformats.org/officeDocument/2006/relationships/externalLink" Target="externalLinks/externalLink49.xml"/><Relationship Id="rId60" Type="http://schemas.openxmlformats.org/officeDocument/2006/relationships/externalLink" Target="externalLinks/externalLink57.xml"/><Relationship Id="rId65" Type="http://schemas.openxmlformats.org/officeDocument/2006/relationships/externalLink" Target="externalLinks/externalLink62.xml"/><Relationship Id="rId73" Type="http://schemas.openxmlformats.org/officeDocument/2006/relationships/externalLink" Target="externalLinks/externalLink70.xml"/><Relationship Id="rId78" Type="http://schemas.openxmlformats.org/officeDocument/2006/relationships/externalLink" Target="externalLinks/externalLink75.xml"/><Relationship Id="rId81" Type="http://schemas.openxmlformats.org/officeDocument/2006/relationships/externalLink" Target="externalLinks/externalLink78.xml"/><Relationship Id="rId86" Type="http://schemas.openxmlformats.org/officeDocument/2006/relationships/externalLink" Target="externalLinks/externalLink83.xml"/><Relationship Id="rId94" Type="http://schemas.openxmlformats.org/officeDocument/2006/relationships/externalLink" Target="externalLinks/externalLink91.xml"/><Relationship Id="rId99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39" Type="http://schemas.openxmlformats.org/officeDocument/2006/relationships/externalLink" Target="externalLinks/externalLink3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1&#51068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10&#51068;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11&#51068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12&#51068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13&#51068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14&#51068;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15&#51068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16&#51068;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17&#51068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18&#51068;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19&#5106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2&#51068;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20&#51068;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21&#51068;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22&#51068;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23&#51068;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24&#51068;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25&#51068;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26&#51068;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27&#51068;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28&#51068;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29&#51068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3&#51068;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30&#51068;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31&#51068;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8&#50900;/1&#51068;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8&#50900;/1&#51068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8&#50900;/2&#51068;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8&#50900;/2&#51068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8&#50900;/3&#51068;.xlsx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8&#50900;/3&#51068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8&#50900;/4&#51068;.xlsx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8&#50900;/4&#51068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4&#51068;.xlsx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8&#50900;/5&#51068;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8&#50900;/5&#51068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8&#50900;/6&#51068;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8&#50900;/6&#51068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8&#50900;/7&#51068;.xlsx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8&#50900;/7&#51068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8&#50900;/8&#51068;.xlsx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8&#50900;/8&#51068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8&#50900;/9&#51068;.xlsx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8&#50900;/9&#51068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5&#51068;.xlsx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8&#50900;/10&#51068;.xlsx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8&#50900;/10&#51068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8&#50900;/11&#51068;.xlsx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8&#50900;/11&#51068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8&#50900;/12&#51068;.xlsx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8&#50900;/12&#51068;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8&#50900;/13&#51068;.xlsx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8&#50900;/13&#51068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8&#50900;/14&#51068;.xlsx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8&#50900;/14&#51068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6&#51068;.xlsx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8&#50900;/15&#51068;.xlsx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8&#50900;/15&#51068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8&#50900;/16&#51068;.xlsx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8&#50900;/16&#51068;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8&#50900;/17&#51068;.xlsx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8&#50900;/17&#51068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8&#50900;/18&#51068;.xlsx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8&#50900;/18&#51068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8&#50900;/19&#51068;.xlsx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8&#50900;/19&#51068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7&#51068;.xlsx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8&#50900;/20&#51068;.xlsx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8&#50900;/20&#51068;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8&#50900;/21&#51068;.xlsx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8&#50900;/21&#5106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8&#50900;/22&#51068;.xlsx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8&#50900;/22&#51068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8&#50900;/23&#51068;.xlsx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8&#50900;/23&#51068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8&#50900;/24&#51068;.xlsx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8&#50900;/24&#51068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8&#51068;.xlsx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8&#50900;/25&#51068;.xlsx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8&#50900;/25&#51068;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8&#50900;/26&#51068;.xlsx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8&#50900;/26&#51068;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8&#50900;/27&#51068;.xlsx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8&#50900;/27&#51068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8&#50900;/28&#51068;.xlsx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8&#50900;/28&#51068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8&#50900;/29&#51068;.xlsx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8&#50900;/29&#51068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9&#51068;.xlsx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8&#50900;/30&#51068;.xlsx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8&#50900;/30&#51068;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8&#50900;/31&#51068;.xlsx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8&#50900;/31&#51068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44378</v>
          </cell>
        </row>
        <row r="26">
          <cell r="D26">
            <v>23.15</v>
          </cell>
        </row>
      </sheetData>
      <sheetData sheetId="1">
        <row r="9">
          <cell r="C9">
            <v>153.60000000000002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44387</v>
          </cell>
        </row>
        <row r="26">
          <cell r="D26">
            <v>23.55</v>
          </cell>
        </row>
      </sheetData>
      <sheetData sheetId="1">
        <row r="9">
          <cell r="C9">
            <v>150.29999999999998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44388</v>
          </cell>
        </row>
        <row r="26">
          <cell r="D26">
            <v>23.65</v>
          </cell>
        </row>
      </sheetData>
      <sheetData sheetId="1">
        <row r="9">
          <cell r="C9">
            <v>156.00000000000003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44389</v>
          </cell>
        </row>
        <row r="26">
          <cell r="D26">
            <v>23.7</v>
          </cell>
        </row>
      </sheetData>
      <sheetData sheetId="1">
        <row r="9">
          <cell r="C9">
            <v>164.1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44390</v>
          </cell>
        </row>
        <row r="26">
          <cell r="D26">
            <v>23.55</v>
          </cell>
        </row>
      </sheetData>
      <sheetData sheetId="1">
        <row r="9">
          <cell r="C9">
            <v>197.7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44391</v>
          </cell>
        </row>
        <row r="26">
          <cell r="D26">
            <v>23.45</v>
          </cell>
        </row>
      </sheetData>
      <sheetData sheetId="1">
        <row r="9">
          <cell r="C9">
            <v>184.20000000000002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44392</v>
          </cell>
        </row>
        <row r="26">
          <cell r="D26">
            <v>23.5</v>
          </cell>
        </row>
      </sheetData>
      <sheetData sheetId="1">
        <row r="9">
          <cell r="C9">
            <v>197.10000000000002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44393</v>
          </cell>
        </row>
        <row r="26">
          <cell r="D26">
            <v>23.6</v>
          </cell>
        </row>
      </sheetData>
      <sheetData sheetId="1">
        <row r="9">
          <cell r="C9">
            <v>178.2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44394</v>
          </cell>
        </row>
        <row r="26">
          <cell r="D26">
            <v>23.55</v>
          </cell>
        </row>
        <row r="28">
          <cell r="D28">
            <v>23.75</v>
          </cell>
        </row>
      </sheetData>
      <sheetData sheetId="1">
        <row r="9">
          <cell r="C9">
            <v>206.1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44395</v>
          </cell>
        </row>
        <row r="26">
          <cell r="D26">
            <v>23.5</v>
          </cell>
        </row>
        <row r="28">
          <cell r="D28">
            <v>23.65</v>
          </cell>
        </row>
      </sheetData>
      <sheetData sheetId="1">
        <row r="9">
          <cell r="C9">
            <v>171.89999999999998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44396</v>
          </cell>
        </row>
        <row r="26">
          <cell r="D26">
            <v>21.1</v>
          </cell>
        </row>
        <row r="28">
          <cell r="D28">
            <v>21.5</v>
          </cell>
        </row>
      </sheetData>
      <sheetData sheetId="1">
        <row r="9">
          <cell r="C9">
            <v>161.40000000000003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44379</v>
          </cell>
        </row>
        <row r="26">
          <cell r="D26">
            <v>22.25</v>
          </cell>
        </row>
      </sheetData>
      <sheetData sheetId="1">
        <row r="9">
          <cell r="C9">
            <v>172.5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44397</v>
          </cell>
        </row>
        <row r="26">
          <cell r="D26">
            <v>23.6</v>
          </cell>
        </row>
        <row r="28">
          <cell r="D28">
            <v>23.75</v>
          </cell>
        </row>
      </sheetData>
      <sheetData sheetId="1">
        <row r="9">
          <cell r="C9">
            <v>185.70000000000002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44398</v>
          </cell>
        </row>
        <row r="26">
          <cell r="D26">
            <v>25.25</v>
          </cell>
        </row>
        <row r="28">
          <cell r="D28">
            <v>25.45</v>
          </cell>
        </row>
      </sheetData>
      <sheetData sheetId="1">
        <row r="9">
          <cell r="C9">
            <v>204.3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44399</v>
          </cell>
        </row>
        <row r="26">
          <cell r="D26">
            <v>25.3</v>
          </cell>
        </row>
        <row r="28">
          <cell r="D28">
            <v>25.55</v>
          </cell>
        </row>
      </sheetData>
      <sheetData sheetId="1">
        <row r="9">
          <cell r="C9">
            <v>177.6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44400</v>
          </cell>
        </row>
        <row r="26">
          <cell r="D26">
            <v>25.4</v>
          </cell>
        </row>
        <row r="28">
          <cell r="D28">
            <v>25.6</v>
          </cell>
        </row>
      </sheetData>
      <sheetData sheetId="1">
        <row r="9">
          <cell r="C9">
            <v>164.70000000000002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44401</v>
          </cell>
        </row>
        <row r="26">
          <cell r="D26">
            <v>25.45</v>
          </cell>
        </row>
        <row r="28">
          <cell r="D28">
            <v>25.65</v>
          </cell>
        </row>
      </sheetData>
      <sheetData sheetId="1">
        <row r="9">
          <cell r="C9">
            <v>203.7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44402</v>
          </cell>
        </row>
        <row r="26">
          <cell r="D26">
            <v>25.45</v>
          </cell>
        </row>
        <row r="28">
          <cell r="D28">
            <v>25.7</v>
          </cell>
        </row>
      </sheetData>
      <sheetData sheetId="1">
        <row r="9">
          <cell r="C9">
            <v>189.89999999999998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44403</v>
          </cell>
        </row>
        <row r="26">
          <cell r="D26">
            <v>25.7</v>
          </cell>
        </row>
        <row r="28">
          <cell r="D28">
            <v>25.85</v>
          </cell>
        </row>
      </sheetData>
      <sheetData sheetId="1">
        <row r="9">
          <cell r="C9">
            <v>198.00000000000006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44404</v>
          </cell>
        </row>
        <row r="26">
          <cell r="D26">
            <v>25.6</v>
          </cell>
        </row>
        <row r="28">
          <cell r="D28">
            <v>25.75</v>
          </cell>
        </row>
      </sheetData>
      <sheetData sheetId="1">
        <row r="9">
          <cell r="C9">
            <v>189.00000000000003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44405</v>
          </cell>
        </row>
        <row r="26">
          <cell r="D26">
            <v>25.55</v>
          </cell>
        </row>
        <row r="28">
          <cell r="D28">
            <v>25.65</v>
          </cell>
        </row>
      </sheetData>
      <sheetData sheetId="1">
        <row r="9">
          <cell r="C9">
            <v>190.125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44406</v>
          </cell>
        </row>
        <row r="26">
          <cell r="D26">
            <v>25.7</v>
          </cell>
        </row>
        <row r="28">
          <cell r="D28">
            <v>25.85</v>
          </cell>
        </row>
      </sheetData>
      <sheetData sheetId="1">
        <row r="9">
          <cell r="C9">
            <v>204.75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44380</v>
          </cell>
        </row>
        <row r="26">
          <cell r="D26">
            <v>21.75</v>
          </cell>
        </row>
      </sheetData>
      <sheetData sheetId="1">
        <row r="9">
          <cell r="C9">
            <v>157.79999999999998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44407</v>
          </cell>
        </row>
        <row r="26">
          <cell r="D26">
            <v>26.05</v>
          </cell>
        </row>
        <row r="28">
          <cell r="D28">
            <v>25.95</v>
          </cell>
        </row>
      </sheetData>
      <sheetData sheetId="1">
        <row r="9">
          <cell r="C9">
            <v>223.12499999999997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44408</v>
          </cell>
        </row>
        <row r="26">
          <cell r="D26">
            <v>25.95</v>
          </cell>
        </row>
        <row r="28">
          <cell r="D28">
            <v>25.75</v>
          </cell>
        </row>
      </sheetData>
      <sheetData sheetId="1">
        <row r="9">
          <cell r="C9">
            <v>178.125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44409</v>
          </cell>
        </row>
        <row r="26">
          <cell r="E26">
            <v>7.35</v>
          </cell>
        </row>
        <row r="27">
          <cell r="E27">
            <v>0</v>
          </cell>
        </row>
        <row r="28">
          <cell r="D28">
            <v>25.6</v>
          </cell>
          <cell r="E28">
            <v>6.8650000000000002</v>
          </cell>
        </row>
      </sheetData>
      <sheetData sheetId="1">
        <row r="9">
          <cell r="C9">
            <v>206.25000000000003</v>
          </cell>
          <cell r="D9">
            <v>75.122383318112</v>
          </cell>
          <cell r="E9">
            <v>173.33333333333343</v>
          </cell>
          <cell r="F9">
            <v>52.511999999999993</v>
          </cell>
          <cell r="G9">
            <v>5.3841599999999996</v>
          </cell>
          <cell r="H9">
            <v>190000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1.1499999999999995</v>
          </cell>
          <cell r="D11">
            <v>5.8154906120899996</v>
          </cell>
          <cell r="E11">
            <v>1.7</v>
          </cell>
          <cell r="F11">
            <v>4.8760000000000003</v>
          </cell>
          <cell r="G11">
            <v>5.8999999999999997E-2</v>
          </cell>
          <cell r="H11">
            <v>11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744</v>
          </cell>
        </row>
        <row r="13">
          <cell r="G13">
            <v>755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44410</v>
          </cell>
        </row>
        <row r="26">
          <cell r="E26">
            <v>7.4499999999999993</v>
          </cell>
        </row>
        <row r="27">
          <cell r="E27">
            <v>6.95</v>
          </cell>
        </row>
        <row r="28">
          <cell r="D28">
            <v>25.55</v>
          </cell>
          <cell r="E28">
            <v>6.9050000000000002</v>
          </cell>
        </row>
      </sheetData>
      <sheetData sheetId="1">
        <row r="9">
          <cell r="C9">
            <v>191.25</v>
          </cell>
          <cell r="D9">
            <v>80.661790551576004</v>
          </cell>
          <cell r="E9">
            <v>183.33333333333334</v>
          </cell>
          <cell r="F9">
            <v>31.862399999999997</v>
          </cell>
          <cell r="G9">
            <v>3.40272</v>
          </cell>
          <cell r="H9">
            <v>170000</v>
          </cell>
        </row>
        <row r="10">
          <cell r="C10">
            <v>12.46</v>
          </cell>
          <cell r="D10">
            <v>20.042887241132</v>
          </cell>
          <cell r="E10">
            <v>18</v>
          </cell>
          <cell r="F10">
            <v>6.4944000000000006</v>
          </cell>
          <cell r="G10">
            <v>0.46051200000000003</v>
          </cell>
          <cell r="H10">
            <v>470</v>
          </cell>
        </row>
        <row r="11">
          <cell r="C11">
            <v>0.79999999999999982</v>
          </cell>
          <cell r="D11">
            <v>6.6006884472799996</v>
          </cell>
          <cell r="E11">
            <v>2</v>
          </cell>
          <cell r="F11">
            <v>3.6417600000000001</v>
          </cell>
          <cell r="G11">
            <v>4.9487999999999997E-2</v>
          </cell>
          <cell r="H11">
            <v>11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937</v>
          </cell>
        </row>
        <row r="13">
          <cell r="G13">
            <v>1052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44411</v>
          </cell>
        </row>
        <row r="26">
          <cell r="E26">
            <v>7.3450000000000006</v>
          </cell>
        </row>
        <row r="27">
          <cell r="E27">
            <v>6.9350000000000005</v>
          </cell>
        </row>
        <row r="28">
          <cell r="D28">
            <v>25.6</v>
          </cell>
          <cell r="E28">
            <v>6.8949999999999996</v>
          </cell>
        </row>
      </sheetData>
      <sheetData sheetId="1">
        <row r="9">
          <cell r="C9">
            <v>216</v>
          </cell>
          <cell r="D9">
            <v>36.395539953175998</v>
          </cell>
          <cell r="E9">
            <v>183.33333333333334</v>
          </cell>
          <cell r="F9">
            <v>20.359200000000001</v>
          </cell>
          <cell r="G9">
            <v>2.32464</v>
          </cell>
          <cell r="H9">
            <v>170000</v>
          </cell>
        </row>
        <row r="10">
          <cell r="C10">
            <v>16.740000000000002</v>
          </cell>
          <cell r="D10">
            <v>19.200824304455999</v>
          </cell>
          <cell r="E10">
            <v>9.1999999999999886</v>
          </cell>
          <cell r="F10">
            <v>7.9785600000000017</v>
          </cell>
          <cell r="G10">
            <v>0.52281599999999995</v>
          </cell>
          <cell r="H10">
            <v>550</v>
          </cell>
        </row>
        <row r="11">
          <cell r="C11">
            <v>1.2600000000000007</v>
          </cell>
          <cell r="D11">
            <v>5.39803973188</v>
          </cell>
          <cell r="E11">
            <v>2.1999999999999886</v>
          </cell>
          <cell r="F11">
            <v>5.2151999999999994</v>
          </cell>
          <cell r="G11">
            <v>4.2911999999999999E-2</v>
          </cell>
          <cell r="H11">
            <v>11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994</v>
          </cell>
        </row>
        <row r="13">
          <cell r="G13">
            <v>1114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44412</v>
          </cell>
        </row>
        <row r="26">
          <cell r="E26">
            <v>7.4649999999999999</v>
          </cell>
        </row>
        <row r="27">
          <cell r="E27">
            <v>6.9649999999999999</v>
          </cell>
        </row>
        <row r="28">
          <cell r="D28">
            <v>25.75</v>
          </cell>
          <cell r="E28">
            <v>6.9050000000000002</v>
          </cell>
        </row>
      </sheetData>
      <sheetData sheetId="1">
        <row r="9">
          <cell r="C9">
            <v>170.62499999999997</v>
          </cell>
          <cell r="D9">
            <v>30.027138325344001</v>
          </cell>
          <cell r="E9">
            <v>160.00000000000037</v>
          </cell>
          <cell r="F9">
            <v>37.579199999999993</v>
          </cell>
          <cell r="G9">
            <v>4.0483200000000004</v>
          </cell>
          <cell r="H9">
            <v>150000</v>
          </cell>
        </row>
        <row r="10">
          <cell r="C10">
            <v>15.569999999999999</v>
          </cell>
          <cell r="D10">
            <v>14.745647206388</v>
          </cell>
          <cell r="E10">
            <v>16.800000000000011</v>
          </cell>
          <cell r="F10">
            <v>8.3932800000000007</v>
          </cell>
          <cell r="G10">
            <v>0.48412799999999989</v>
          </cell>
          <cell r="H10">
            <v>700</v>
          </cell>
        </row>
        <row r="11">
          <cell r="C11">
            <v>1.2199999999999998</v>
          </cell>
          <cell r="D11">
            <v>5.0727946035000002</v>
          </cell>
          <cell r="E11">
            <v>2</v>
          </cell>
          <cell r="F11">
            <v>5.3323200000000002</v>
          </cell>
          <cell r="G11">
            <v>4.3247999999999995E-2</v>
          </cell>
          <cell r="H11">
            <v>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938</v>
          </cell>
        </row>
        <row r="13">
          <cell r="G13">
            <v>1022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44381</v>
          </cell>
        </row>
        <row r="26">
          <cell r="D26">
            <v>21.55</v>
          </cell>
        </row>
      </sheetData>
      <sheetData sheetId="1">
        <row r="9">
          <cell r="C9">
            <v>177.6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44413</v>
          </cell>
        </row>
        <row r="26">
          <cell r="E26">
            <v>7.3249999999999993</v>
          </cell>
        </row>
        <row r="27">
          <cell r="E27">
            <v>6.9350000000000005</v>
          </cell>
        </row>
        <row r="28">
          <cell r="D28">
            <v>25.75</v>
          </cell>
          <cell r="E28">
            <v>6.8949999999999996</v>
          </cell>
        </row>
      </sheetData>
      <sheetData sheetId="1">
        <row r="9">
          <cell r="C9">
            <v>196.49999999999997</v>
          </cell>
          <cell r="D9">
            <v>61.361267741135997</v>
          </cell>
          <cell r="E9">
            <v>219.99999999999983</v>
          </cell>
          <cell r="F9">
            <v>47.349599999999995</v>
          </cell>
          <cell r="G9">
            <v>4.2182400000000007</v>
          </cell>
          <cell r="H9">
            <v>200000</v>
          </cell>
        </row>
        <row r="10">
          <cell r="C10">
            <v>15.329999999999998</v>
          </cell>
          <cell r="D10">
            <v>4.2755190338820004</v>
          </cell>
          <cell r="E10">
            <v>14</v>
          </cell>
          <cell r="F10">
            <v>6.5255999999999998</v>
          </cell>
          <cell r="G10">
            <v>0.38649600000000001</v>
          </cell>
          <cell r="H10">
            <v>840</v>
          </cell>
        </row>
        <row r="11">
          <cell r="C11">
            <v>1.6100000000000003</v>
          </cell>
          <cell r="D11">
            <v>5.232130954744</v>
          </cell>
          <cell r="E11">
            <v>2.3999999999999773</v>
          </cell>
          <cell r="F11">
            <v>5.8060799999999997</v>
          </cell>
          <cell r="G11">
            <v>5.2560000000000003E-2</v>
          </cell>
          <cell r="H11">
            <v>8.5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747</v>
          </cell>
        </row>
        <row r="13">
          <cell r="G13">
            <v>718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44414</v>
          </cell>
        </row>
        <row r="26">
          <cell r="E26">
            <v>7.46</v>
          </cell>
        </row>
        <row r="27">
          <cell r="E27">
            <v>7.0549999999999997</v>
          </cell>
        </row>
        <row r="28">
          <cell r="D28">
            <v>26.35</v>
          </cell>
          <cell r="E28">
            <v>6.92</v>
          </cell>
        </row>
      </sheetData>
      <sheetData sheetId="1">
        <row r="9">
          <cell r="C9">
            <v>187.5</v>
          </cell>
          <cell r="D9">
            <v>71.735258595420007</v>
          </cell>
          <cell r="E9">
            <v>193.33333333333323</v>
          </cell>
          <cell r="F9">
            <v>22.8504</v>
          </cell>
          <cell r="G9">
            <v>2.2478400000000001</v>
          </cell>
          <cell r="H9">
            <v>180000</v>
          </cell>
        </row>
        <row r="10">
          <cell r="C10">
            <v>11.120000000000001</v>
          </cell>
          <cell r="D10">
            <v>14.081602918724</v>
          </cell>
          <cell r="E10">
            <v>14.399999999999979</v>
          </cell>
          <cell r="F10">
            <v>6.3643200000000002</v>
          </cell>
          <cell r="G10">
            <v>0.49699199999999999</v>
          </cell>
          <cell r="H10">
            <v>780</v>
          </cell>
        </row>
        <row r="11">
          <cell r="C11">
            <v>1.2700000000000005</v>
          </cell>
          <cell r="D11">
            <v>4.395919246848</v>
          </cell>
          <cell r="E11">
            <v>2.5999999999999948</v>
          </cell>
          <cell r="F11">
            <v>5.7604799999999994</v>
          </cell>
          <cell r="G11">
            <v>5.6927999999999999E-2</v>
          </cell>
          <cell r="H11">
            <v>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693</v>
          </cell>
        </row>
        <row r="13">
          <cell r="G13">
            <v>734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44415</v>
          </cell>
        </row>
        <row r="26">
          <cell r="E26">
            <v>7.43</v>
          </cell>
        </row>
        <row r="27">
          <cell r="E27">
            <v>0</v>
          </cell>
        </row>
        <row r="28">
          <cell r="D28">
            <v>25.85</v>
          </cell>
          <cell r="E28">
            <v>6.9399999999999995</v>
          </cell>
        </row>
      </sheetData>
      <sheetData sheetId="1">
        <row r="9">
          <cell r="C9">
            <v>183.74999999999997</v>
          </cell>
          <cell r="D9">
            <v>74.267675988959994</v>
          </cell>
          <cell r="E9">
            <v>206.66666666666677</v>
          </cell>
          <cell r="F9">
            <v>30.982800000000005</v>
          </cell>
          <cell r="G9">
            <v>2.70336</v>
          </cell>
          <cell r="H9">
            <v>200000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0.74999999999999911</v>
          </cell>
          <cell r="D11">
            <v>3.7544857115800001</v>
          </cell>
          <cell r="E11">
            <v>1.6</v>
          </cell>
          <cell r="F11">
            <v>4.4370000000000003</v>
          </cell>
          <cell r="G11">
            <v>6.0999999999999999E-2</v>
          </cell>
          <cell r="H11">
            <v>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818</v>
          </cell>
        </row>
        <row r="13">
          <cell r="G13">
            <v>846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44416</v>
          </cell>
        </row>
        <row r="26">
          <cell r="E26">
            <v>7.26</v>
          </cell>
        </row>
        <row r="27">
          <cell r="E27">
            <v>0</v>
          </cell>
        </row>
        <row r="28">
          <cell r="D28">
            <v>25.9</v>
          </cell>
          <cell r="E28">
            <v>6.9050000000000002</v>
          </cell>
        </row>
      </sheetData>
      <sheetData sheetId="1">
        <row r="9">
          <cell r="C9">
            <v>233.25000000000003</v>
          </cell>
          <cell r="D9">
            <v>73.090707322399993</v>
          </cell>
          <cell r="E9">
            <v>3450.0000000000027</v>
          </cell>
          <cell r="F9">
            <v>30.982800000000005</v>
          </cell>
          <cell r="G9">
            <v>2.70336</v>
          </cell>
          <cell r="H9">
            <v>230000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1.1300000000000008</v>
          </cell>
          <cell r="D11">
            <v>3.8896586138</v>
          </cell>
          <cell r="E11">
            <v>1.7</v>
          </cell>
          <cell r="F11">
            <v>3.5049999999999999</v>
          </cell>
          <cell r="G11">
            <v>5.8000000000000003E-2</v>
          </cell>
          <cell r="H11">
            <v>12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643</v>
          </cell>
        </row>
        <row r="13">
          <cell r="G13">
            <v>618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44417</v>
          </cell>
        </row>
        <row r="26">
          <cell r="E26">
            <v>7.4950000000000001</v>
          </cell>
        </row>
        <row r="27">
          <cell r="E27">
            <v>6.8949999999999996</v>
          </cell>
        </row>
        <row r="28">
          <cell r="D28">
            <v>25.65</v>
          </cell>
          <cell r="E28">
            <v>6.8049999999999997</v>
          </cell>
        </row>
      </sheetData>
      <sheetData sheetId="1">
        <row r="9">
          <cell r="C9">
            <v>173.62500000000003</v>
          </cell>
          <cell r="D9">
            <v>41.358191776879998</v>
          </cell>
          <cell r="E9">
            <v>186.66666666666649</v>
          </cell>
          <cell r="F9">
            <v>41.522399999999998</v>
          </cell>
          <cell r="G9">
            <v>4.5235200000000004</v>
          </cell>
          <cell r="H9">
            <v>160000</v>
          </cell>
        </row>
        <row r="10">
          <cell r="C10">
            <v>15.51</v>
          </cell>
          <cell r="D10">
            <v>11.586325932744</v>
          </cell>
          <cell r="E10">
            <v>14.399999999999979</v>
          </cell>
          <cell r="F10">
            <v>6.2798399999999992</v>
          </cell>
          <cell r="G10">
            <v>0.26337599999999994</v>
          </cell>
          <cell r="H10">
            <v>540</v>
          </cell>
        </row>
        <row r="11">
          <cell r="C11">
            <v>1.9800000000000004</v>
          </cell>
          <cell r="D11">
            <v>3.9269658071600002</v>
          </cell>
          <cell r="E11">
            <v>2.2000000000000175</v>
          </cell>
          <cell r="F11">
            <v>5.2262399999999998</v>
          </cell>
          <cell r="G11">
            <v>1.7616E-2</v>
          </cell>
          <cell r="H11">
            <v>4.5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616</v>
          </cell>
        </row>
        <row r="13">
          <cell r="G13">
            <v>544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44382</v>
          </cell>
        </row>
        <row r="26">
          <cell r="D26">
            <v>23.4</v>
          </cell>
        </row>
      </sheetData>
      <sheetData sheetId="1">
        <row r="9">
          <cell r="C9">
            <v>153.00000000000003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44418</v>
          </cell>
        </row>
        <row r="26">
          <cell r="E26">
            <v>7.1950000000000003</v>
          </cell>
        </row>
        <row r="27">
          <cell r="E27">
            <v>6.8949999999999996</v>
          </cell>
        </row>
        <row r="28">
          <cell r="D28">
            <v>25.6</v>
          </cell>
          <cell r="E28">
            <v>6.8449999999999998</v>
          </cell>
        </row>
      </sheetData>
      <sheetData sheetId="1">
        <row r="9">
          <cell r="C9">
            <v>217.125</v>
          </cell>
          <cell r="D9">
            <v>44.677565948800002</v>
          </cell>
          <cell r="E9">
            <v>206.66666666666677</v>
          </cell>
          <cell r="F9">
            <v>44.556000000000004</v>
          </cell>
          <cell r="G9">
            <v>4.4731199999999998</v>
          </cell>
          <cell r="H9">
            <v>200000</v>
          </cell>
        </row>
        <row r="10">
          <cell r="C10">
            <v>17.22</v>
          </cell>
          <cell r="D10">
            <v>3.9842230551340001</v>
          </cell>
          <cell r="E10">
            <v>14.400000000000034</v>
          </cell>
          <cell r="F10">
            <v>6.3974400000000005</v>
          </cell>
          <cell r="G10">
            <v>0.320496</v>
          </cell>
          <cell r="H10">
            <v>720</v>
          </cell>
        </row>
        <row r="11">
          <cell r="C11">
            <v>1.54</v>
          </cell>
          <cell r="D11">
            <v>4.058950591436</v>
          </cell>
          <cell r="E11">
            <v>1.5999999999999943</v>
          </cell>
          <cell r="F11">
            <v>5.2310400000000001</v>
          </cell>
          <cell r="G11">
            <v>2.2511999999999997E-2</v>
          </cell>
          <cell r="H11">
            <v>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642</v>
          </cell>
        </row>
        <row r="13">
          <cell r="G13">
            <v>634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44419</v>
          </cell>
        </row>
        <row r="26">
          <cell r="E26">
            <v>7.4050000000000002</v>
          </cell>
        </row>
        <row r="27">
          <cell r="E27">
            <v>6.9</v>
          </cell>
        </row>
        <row r="28">
          <cell r="D28">
            <v>25.8</v>
          </cell>
          <cell r="E28">
            <v>6.83</v>
          </cell>
        </row>
      </sheetData>
      <sheetData sheetId="1">
        <row r="9">
          <cell r="C9">
            <v>185.62499999999997</v>
          </cell>
          <cell r="D9">
            <v>45.078887064623999</v>
          </cell>
          <cell r="E9">
            <v>163.33333333333351</v>
          </cell>
          <cell r="F9">
            <v>34.221600000000002</v>
          </cell>
          <cell r="G9">
            <v>3.3959999999999995</v>
          </cell>
          <cell r="H9">
            <v>170000</v>
          </cell>
        </row>
        <row r="10">
          <cell r="C10">
            <v>17.370000000000005</v>
          </cell>
          <cell r="D10">
            <v>13.803481034076</v>
          </cell>
          <cell r="E10">
            <v>14.399999999999979</v>
          </cell>
          <cell r="F10">
            <v>7.4932800000000013</v>
          </cell>
          <cell r="G10">
            <v>0.24115200000000001</v>
          </cell>
          <cell r="H10">
            <v>520</v>
          </cell>
        </row>
        <row r="11">
          <cell r="C11">
            <v>1.2500000000000009</v>
          </cell>
          <cell r="D11">
            <v>3.1567639283840001</v>
          </cell>
          <cell r="E11">
            <v>2.2000000000000175</v>
          </cell>
          <cell r="F11">
            <v>6.4636799999999992</v>
          </cell>
          <cell r="G11">
            <v>1.7616E-2</v>
          </cell>
          <cell r="H11">
            <v>5.5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636</v>
          </cell>
        </row>
        <row r="13">
          <cell r="G13">
            <v>647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44420</v>
          </cell>
        </row>
        <row r="26">
          <cell r="E26">
            <v>7.335</v>
          </cell>
        </row>
        <row r="27">
          <cell r="E27">
            <v>6.9050000000000002</v>
          </cell>
        </row>
        <row r="28">
          <cell r="D28">
            <v>25.6</v>
          </cell>
          <cell r="E28">
            <v>6.8550000000000004</v>
          </cell>
        </row>
      </sheetData>
      <sheetData sheetId="1">
        <row r="9">
          <cell r="C9">
            <v>193.87500000000003</v>
          </cell>
          <cell r="D9">
            <v>73.020889152728003</v>
          </cell>
          <cell r="E9">
            <v>176.66666666666657</v>
          </cell>
          <cell r="F9">
            <v>33.292800000000007</v>
          </cell>
          <cell r="G9">
            <v>3.1137600000000001</v>
          </cell>
          <cell r="H9">
            <v>160000</v>
          </cell>
        </row>
        <row r="10">
          <cell r="C10">
            <v>14.430000000000001</v>
          </cell>
          <cell r="D10">
            <v>12.199909019432001</v>
          </cell>
          <cell r="E10">
            <v>12</v>
          </cell>
          <cell r="F10">
            <v>7.1020799999999991</v>
          </cell>
          <cell r="G10">
            <v>0.28843200000000002</v>
          </cell>
          <cell r="H10">
            <v>670</v>
          </cell>
        </row>
        <row r="11">
          <cell r="C11">
            <v>1.3899999999999997</v>
          </cell>
          <cell r="D11">
            <v>5.8996485549519999</v>
          </cell>
          <cell r="E11">
            <v>1.6000000000000227</v>
          </cell>
          <cell r="F11">
            <v>6.5419200000000002</v>
          </cell>
          <cell r="G11">
            <v>3.6624000000000004E-2</v>
          </cell>
          <cell r="H11">
            <v>13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551</v>
          </cell>
        </row>
        <row r="13">
          <cell r="G13">
            <v>623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44421</v>
          </cell>
        </row>
        <row r="26">
          <cell r="E26">
            <v>7.4450000000000003</v>
          </cell>
        </row>
        <row r="27">
          <cell r="E27">
            <v>6.9450000000000003</v>
          </cell>
        </row>
        <row r="28">
          <cell r="D28">
            <v>25.75</v>
          </cell>
          <cell r="E28">
            <v>6.8650000000000002</v>
          </cell>
        </row>
      </sheetData>
      <sheetData sheetId="1">
        <row r="9">
          <cell r="C9">
            <v>222</v>
          </cell>
          <cell r="D9">
            <v>80.865426212840006</v>
          </cell>
          <cell r="E9">
            <v>203.3333333333336</v>
          </cell>
          <cell r="F9">
            <v>35.028000000000006</v>
          </cell>
          <cell r="G9">
            <v>3.0748800000000003</v>
          </cell>
          <cell r="H9">
            <v>230000</v>
          </cell>
        </row>
        <row r="10">
          <cell r="C10">
            <v>12.54</v>
          </cell>
          <cell r="D10">
            <v>12.062307046594</v>
          </cell>
          <cell r="E10">
            <v>12.399999999999979</v>
          </cell>
          <cell r="F10">
            <v>6.8875199999999994</v>
          </cell>
          <cell r="G10">
            <v>0.23952000000000001</v>
          </cell>
          <cell r="H10">
            <v>890</v>
          </cell>
        </row>
        <row r="11">
          <cell r="C11">
            <v>1.0899999999999999</v>
          </cell>
          <cell r="D11">
            <v>4.2109758768000001</v>
          </cell>
          <cell r="E11">
            <v>1.5999999999999943</v>
          </cell>
          <cell r="F11">
            <v>5.7225600000000005</v>
          </cell>
          <cell r="G11">
            <v>4.4112000000000012E-2</v>
          </cell>
          <cell r="H11">
            <v>11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609</v>
          </cell>
        </row>
        <row r="13">
          <cell r="G13">
            <v>500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44422</v>
          </cell>
        </row>
        <row r="26">
          <cell r="E26">
            <v>7.2050000000000001</v>
          </cell>
        </row>
        <row r="27">
          <cell r="E27">
            <v>0</v>
          </cell>
        </row>
        <row r="28">
          <cell r="D28">
            <v>25.55</v>
          </cell>
          <cell r="E28">
            <v>6.8550000000000004</v>
          </cell>
        </row>
      </sheetData>
      <sheetData sheetId="1">
        <row r="9">
          <cell r="C9">
            <v>196.12500000000003</v>
          </cell>
          <cell r="D9">
            <v>64.508788568192003</v>
          </cell>
          <cell r="E9">
            <v>209.99999999999991</v>
          </cell>
          <cell r="F9">
            <v>49.411199999999994</v>
          </cell>
          <cell r="G9">
            <v>5.4674399999999999</v>
          </cell>
          <cell r="H9">
            <v>180000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2.2699999999999996</v>
          </cell>
          <cell r="D11">
            <v>5.124531565232</v>
          </cell>
          <cell r="E11">
            <v>1.6</v>
          </cell>
          <cell r="F11">
            <v>4.1120000000000001</v>
          </cell>
          <cell r="G11">
            <v>5.1999999999999998E-2</v>
          </cell>
          <cell r="H11">
            <v>5.5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570</v>
          </cell>
        </row>
        <row r="13">
          <cell r="G13">
            <v>556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44383</v>
          </cell>
        </row>
        <row r="26">
          <cell r="D26">
            <v>23.55</v>
          </cell>
        </row>
      </sheetData>
      <sheetData sheetId="1">
        <row r="9">
          <cell r="C9">
            <v>152.69999999999999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44423</v>
          </cell>
        </row>
        <row r="26">
          <cell r="E26">
            <v>7.2549999999999999</v>
          </cell>
        </row>
        <row r="27">
          <cell r="E27">
            <v>0</v>
          </cell>
        </row>
        <row r="28">
          <cell r="D28">
            <v>25.9</v>
          </cell>
          <cell r="E28">
            <v>6.9</v>
          </cell>
        </row>
      </sheetData>
      <sheetData sheetId="1">
        <row r="9">
          <cell r="C9">
            <v>217.87500000000003</v>
          </cell>
          <cell r="D9">
            <v>58.208994062960002</v>
          </cell>
          <cell r="E9">
            <v>219.99999999999983</v>
          </cell>
          <cell r="F9">
            <v>53.512799999999999</v>
          </cell>
          <cell r="G9">
            <v>4.7558400000000001</v>
          </cell>
          <cell r="H9">
            <v>220000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1.2999999999999998</v>
          </cell>
          <cell r="D11">
            <v>4.9898152086560001</v>
          </cell>
          <cell r="E11">
            <v>1.6</v>
          </cell>
          <cell r="F11">
            <v>4.9790000000000001</v>
          </cell>
          <cell r="G11">
            <v>5.1999999999999998E-2</v>
          </cell>
          <cell r="H11">
            <v>12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569</v>
          </cell>
        </row>
        <row r="13">
          <cell r="G13">
            <v>557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44424</v>
          </cell>
        </row>
        <row r="26">
          <cell r="E26">
            <v>7.41</v>
          </cell>
        </row>
        <row r="27">
          <cell r="E27">
            <v>0</v>
          </cell>
        </row>
        <row r="28">
          <cell r="D28">
            <v>26</v>
          </cell>
          <cell r="E28">
            <v>6.915</v>
          </cell>
        </row>
      </sheetData>
      <sheetData sheetId="1">
        <row r="9">
          <cell r="C9">
            <v>175.87499999999997</v>
          </cell>
          <cell r="D9">
            <v>87.624728699784001</v>
          </cell>
          <cell r="E9">
            <v>156.66666666666677</v>
          </cell>
          <cell r="F9">
            <v>43.010399999999997</v>
          </cell>
          <cell r="G9">
            <v>4.2048000000000005</v>
          </cell>
          <cell r="H9">
            <v>140000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1.4400000000000004</v>
          </cell>
          <cell r="D11">
            <v>4.7843121383360003</v>
          </cell>
          <cell r="E11">
            <v>1.6</v>
          </cell>
          <cell r="F11">
            <v>4.1379999999999999</v>
          </cell>
          <cell r="G11">
            <v>4.3999999999999997E-2</v>
          </cell>
          <cell r="H11">
            <v>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551</v>
          </cell>
        </row>
        <row r="13">
          <cell r="G13">
            <v>550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44425</v>
          </cell>
        </row>
        <row r="26">
          <cell r="E26">
            <v>7.5049999999999999</v>
          </cell>
        </row>
        <row r="27">
          <cell r="E27">
            <v>6.93</v>
          </cell>
        </row>
        <row r="28">
          <cell r="E28">
            <v>6.8650000000000002</v>
          </cell>
        </row>
      </sheetData>
      <sheetData sheetId="1">
        <row r="9">
          <cell r="C9">
            <v>233.25000000000003</v>
          </cell>
          <cell r="D9">
            <v>39.564322802395999</v>
          </cell>
          <cell r="E9">
            <v>226.66666666666657</v>
          </cell>
          <cell r="F9">
            <v>53.870399999999997</v>
          </cell>
          <cell r="G9">
            <v>5.0640000000000001</v>
          </cell>
          <cell r="H9">
            <v>220000</v>
          </cell>
        </row>
        <row r="10">
          <cell r="C10">
            <v>15.690000000000001</v>
          </cell>
          <cell r="D10">
            <v>9.1855222711979998</v>
          </cell>
          <cell r="E10">
            <v>15.199999999999989</v>
          </cell>
          <cell r="F10">
            <v>7.4155200000000008</v>
          </cell>
          <cell r="G10">
            <v>0.31560000000000005</v>
          </cell>
          <cell r="H10">
            <v>740</v>
          </cell>
        </row>
        <row r="11">
          <cell r="C11">
            <v>1.370000000000001</v>
          </cell>
          <cell r="D11">
            <v>3.7599620781619998</v>
          </cell>
          <cell r="E11">
            <v>2</v>
          </cell>
          <cell r="F11">
            <v>6.2769599999999999</v>
          </cell>
          <cell r="G11">
            <v>5.5536000000000002E-2</v>
          </cell>
          <cell r="H11">
            <v>8.5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578</v>
          </cell>
        </row>
        <row r="13">
          <cell r="G13">
            <v>538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44426</v>
          </cell>
        </row>
        <row r="26">
          <cell r="E26">
            <v>7.25</v>
          </cell>
        </row>
        <row r="27">
          <cell r="E27">
            <v>6.92</v>
          </cell>
        </row>
        <row r="28">
          <cell r="E28">
            <v>6.8449999999999998</v>
          </cell>
        </row>
      </sheetData>
      <sheetData sheetId="1">
        <row r="9">
          <cell r="C9">
            <v>176.62500000000003</v>
          </cell>
          <cell r="D9">
            <v>46.492328067000003</v>
          </cell>
          <cell r="E9">
            <v>166.66666666666666</v>
          </cell>
          <cell r="F9">
            <v>48.252000000000002</v>
          </cell>
          <cell r="G9">
            <v>4.5969600000000002</v>
          </cell>
          <cell r="H9">
            <v>170000</v>
          </cell>
        </row>
        <row r="10">
          <cell r="C10">
            <v>13.170000000000002</v>
          </cell>
          <cell r="D10">
            <v>4.4379310306460003</v>
          </cell>
          <cell r="E10">
            <v>17.600000000000023</v>
          </cell>
          <cell r="F10">
            <v>6.9974400000000001</v>
          </cell>
          <cell r="G10">
            <v>0.40008000000000005</v>
          </cell>
          <cell r="H10">
            <v>470</v>
          </cell>
        </row>
        <row r="11">
          <cell r="C11">
            <v>1.0999999999999996</v>
          </cell>
          <cell r="D11">
            <v>4.8536557875859998</v>
          </cell>
          <cell r="E11">
            <v>1.5999999999999943</v>
          </cell>
          <cell r="F11">
            <v>6.2942400000000003</v>
          </cell>
          <cell r="G11">
            <v>5.3232000000000002E-2</v>
          </cell>
          <cell r="H11">
            <v>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547</v>
          </cell>
        </row>
        <row r="13">
          <cell r="G13">
            <v>610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44427</v>
          </cell>
        </row>
        <row r="26">
          <cell r="E26">
            <v>7.33</v>
          </cell>
        </row>
        <row r="27">
          <cell r="E27">
            <v>6.9249999999999998</v>
          </cell>
        </row>
        <row r="28">
          <cell r="E28">
            <v>6.88</v>
          </cell>
        </row>
      </sheetData>
      <sheetData sheetId="1">
        <row r="9">
          <cell r="C9">
            <v>196.875</v>
          </cell>
          <cell r="D9">
            <v>85.926364695667999</v>
          </cell>
          <cell r="E9">
            <v>226.66666666666657</v>
          </cell>
          <cell r="F9">
            <v>40.559999999999995</v>
          </cell>
          <cell r="G9">
            <v>4.1779200000000003</v>
          </cell>
          <cell r="H9">
            <v>180000</v>
          </cell>
        </row>
        <row r="10">
          <cell r="C10">
            <v>15.900000000000002</v>
          </cell>
          <cell r="D10">
            <v>9.7451740434960001</v>
          </cell>
          <cell r="E10">
            <v>14.800000000000011</v>
          </cell>
          <cell r="F10">
            <v>10.98288</v>
          </cell>
          <cell r="G10">
            <v>0.19463999999999995</v>
          </cell>
          <cell r="H10">
            <v>740</v>
          </cell>
        </row>
        <row r="11">
          <cell r="C11">
            <v>1.5499999999999998</v>
          </cell>
          <cell r="D11">
            <v>5.2854148864979997</v>
          </cell>
          <cell r="E11">
            <v>2</v>
          </cell>
          <cell r="F11">
            <v>7.4428800000000006</v>
          </cell>
          <cell r="G11">
            <v>4.3920000000000001E-2</v>
          </cell>
          <cell r="H11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553</v>
          </cell>
        </row>
        <row r="13">
          <cell r="G13">
            <v>541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44384</v>
          </cell>
        </row>
        <row r="26">
          <cell r="D26">
            <v>23.65</v>
          </cell>
        </row>
      </sheetData>
      <sheetData sheetId="1">
        <row r="9">
          <cell r="C9">
            <v>149.99999999999997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44428</v>
          </cell>
        </row>
        <row r="26">
          <cell r="E26">
            <v>7.4849999999999994</v>
          </cell>
        </row>
        <row r="27">
          <cell r="E27">
            <v>6.92</v>
          </cell>
        </row>
        <row r="28">
          <cell r="E28">
            <v>6.8550000000000004</v>
          </cell>
        </row>
      </sheetData>
      <sheetData sheetId="1">
        <row r="9">
          <cell r="C9">
            <v>181.87500000000003</v>
          </cell>
          <cell r="D9">
            <v>75.952972162104004</v>
          </cell>
          <cell r="E9">
            <v>176.66666666666703</v>
          </cell>
          <cell r="F9">
            <v>40.586399999999998</v>
          </cell>
          <cell r="G9">
            <v>4.5542400000000001</v>
          </cell>
          <cell r="H9">
            <v>180000</v>
          </cell>
        </row>
        <row r="10">
          <cell r="C10">
            <v>10.440000000000001</v>
          </cell>
          <cell r="D10">
            <v>10.493450884032001</v>
          </cell>
          <cell r="E10">
            <v>14</v>
          </cell>
          <cell r="F10">
            <v>6.0974400000000006</v>
          </cell>
          <cell r="G10">
            <v>0.23198399999999997</v>
          </cell>
          <cell r="H10">
            <v>690</v>
          </cell>
        </row>
        <row r="11">
          <cell r="C11">
            <v>1.37</v>
          </cell>
          <cell r="D11">
            <v>4.2166798512319996</v>
          </cell>
          <cell r="E11">
            <v>2.5999999999999948</v>
          </cell>
          <cell r="F11">
            <v>6.1406399999999994</v>
          </cell>
          <cell r="G11">
            <v>3.2448000000000005E-2</v>
          </cell>
          <cell r="H11">
            <v>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533</v>
          </cell>
        </row>
        <row r="13">
          <cell r="G13">
            <v>533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44429</v>
          </cell>
        </row>
        <row r="26">
          <cell r="E26">
            <v>7.3599999999999994</v>
          </cell>
        </row>
        <row r="27">
          <cell r="E27">
            <v>0</v>
          </cell>
        </row>
        <row r="28">
          <cell r="E28">
            <v>6.875</v>
          </cell>
        </row>
      </sheetData>
      <sheetData sheetId="1">
        <row r="9">
          <cell r="C9">
            <v>174.75000000000003</v>
          </cell>
          <cell r="D9">
            <v>82.226532898683999</v>
          </cell>
          <cell r="E9">
            <v>166.66666666666666</v>
          </cell>
          <cell r="F9">
            <v>38.743200000000009</v>
          </cell>
          <cell r="G9">
            <v>3.6201599999999998</v>
          </cell>
          <cell r="H9">
            <v>170000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1.4900000000000002</v>
          </cell>
          <cell r="D11">
            <v>5.4602199547039998</v>
          </cell>
          <cell r="E11">
            <v>1.7</v>
          </cell>
          <cell r="F11">
            <v>4.1260000000000003</v>
          </cell>
          <cell r="G11">
            <v>8.5000000000000006E-2</v>
          </cell>
          <cell r="H11">
            <v>12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695</v>
          </cell>
        </row>
        <row r="13">
          <cell r="G13">
            <v>661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44430</v>
          </cell>
        </row>
        <row r="26">
          <cell r="E26">
            <v>7.2149999999999999</v>
          </cell>
        </row>
        <row r="27">
          <cell r="E27">
            <v>0</v>
          </cell>
        </row>
        <row r="28">
          <cell r="E28">
            <v>6.8949999999999996</v>
          </cell>
        </row>
      </sheetData>
      <sheetData sheetId="1">
        <row r="9">
          <cell r="C9">
            <v>214.5</v>
          </cell>
          <cell r="D9">
            <v>91.591788783704004</v>
          </cell>
          <cell r="E9">
            <v>206.66666666666677</v>
          </cell>
          <cell r="F9">
            <v>55.2408</v>
          </cell>
          <cell r="G9">
            <v>4.6079999999999997</v>
          </cell>
          <cell r="H9">
            <v>200000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1.2299999999999995</v>
          </cell>
          <cell r="D11">
            <v>4.855628907372</v>
          </cell>
          <cell r="E11">
            <v>1.6</v>
          </cell>
          <cell r="F11">
            <v>4.008</v>
          </cell>
          <cell r="G11">
            <v>6.4000000000000001E-2</v>
          </cell>
          <cell r="H11">
            <v>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609</v>
          </cell>
        </row>
        <row r="13">
          <cell r="G13">
            <v>592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44431</v>
          </cell>
        </row>
        <row r="26">
          <cell r="E26">
            <v>7.54</v>
          </cell>
        </row>
        <row r="27">
          <cell r="E27">
            <v>6.9050000000000002</v>
          </cell>
        </row>
        <row r="28">
          <cell r="E28">
            <v>6.8550000000000004</v>
          </cell>
        </row>
      </sheetData>
      <sheetData sheetId="1">
        <row r="9">
          <cell r="C9">
            <v>174.00000000000003</v>
          </cell>
          <cell r="D9">
            <v>57.618313170724001</v>
          </cell>
          <cell r="E9">
            <v>156.66666666666677</v>
          </cell>
          <cell r="F9">
            <v>50.380799999999994</v>
          </cell>
          <cell r="G9">
            <v>3.5068799999999998</v>
          </cell>
          <cell r="H9">
            <v>140000</v>
          </cell>
        </row>
        <row r="10">
          <cell r="C10">
            <v>14.160000000000002</v>
          </cell>
          <cell r="D10">
            <v>12.223059698151999</v>
          </cell>
          <cell r="E10">
            <v>16.800000000000011</v>
          </cell>
          <cell r="F10">
            <v>7.7443199999999992</v>
          </cell>
          <cell r="G10">
            <v>0.25324799999999997</v>
          </cell>
          <cell r="H10">
            <v>490</v>
          </cell>
        </row>
        <row r="11">
          <cell r="C11">
            <v>1.2699999999999996</v>
          </cell>
          <cell r="D11">
            <v>5.5452357789280002</v>
          </cell>
          <cell r="E11">
            <v>1.1999999999999886</v>
          </cell>
          <cell r="F11">
            <v>5.8377599999999994</v>
          </cell>
          <cell r="G11">
            <v>2.5440000000000001E-2</v>
          </cell>
          <cell r="H11">
            <v>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778</v>
          </cell>
        </row>
        <row r="13">
          <cell r="G13">
            <v>797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44432</v>
          </cell>
        </row>
        <row r="26">
          <cell r="E26">
            <v>7.44</v>
          </cell>
        </row>
        <row r="27">
          <cell r="E27">
            <v>6.9249999999999998</v>
          </cell>
        </row>
        <row r="28">
          <cell r="E28">
            <v>6.875</v>
          </cell>
        </row>
      </sheetData>
      <sheetData sheetId="1">
        <row r="9">
          <cell r="C9">
            <v>161.62500000000003</v>
          </cell>
          <cell r="D9">
            <v>35.456148275903999</v>
          </cell>
          <cell r="E9">
            <v>146.66666666666686</v>
          </cell>
          <cell r="F9">
            <v>23.531999999999996</v>
          </cell>
          <cell r="G9">
            <v>2.6255999999999995</v>
          </cell>
          <cell r="H9">
            <v>140000</v>
          </cell>
        </row>
        <row r="10">
          <cell r="C10">
            <v>13.89</v>
          </cell>
          <cell r="D10">
            <v>5.3108207711800004</v>
          </cell>
          <cell r="E10">
            <v>10.799999999999955</v>
          </cell>
          <cell r="F10">
            <v>7.4169600000000004</v>
          </cell>
          <cell r="G10">
            <v>0.30287999999999998</v>
          </cell>
          <cell r="H10">
            <v>640</v>
          </cell>
        </row>
        <row r="11">
          <cell r="C11">
            <v>1.7200000000000006</v>
          </cell>
          <cell r="D11">
            <v>1.9577213428</v>
          </cell>
          <cell r="E11">
            <v>2.4000000000000052</v>
          </cell>
          <cell r="F11">
            <v>5.7235200000000006</v>
          </cell>
          <cell r="G11">
            <v>4.1375999999999996E-2</v>
          </cell>
          <cell r="H11">
            <v>12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855</v>
          </cell>
        </row>
        <row r="13">
          <cell r="G13">
            <v>1001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44385</v>
          </cell>
        </row>
        <row r="26">
          <cell r="D26">
            <v>23.7</v>
          </cell>
        </row>
      </sheetData>
      <sheetData sheetId="1">
        <row r="9">
          <cell r="C9">
            <v>190.20000000000002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44433</v>
          </cell>
        </row>
        <row r="26">
          <cell r="E26">
            <v>7.5049999999999999</v>
          </cell>
        </row>
        <row r="27">
          <cell r="E27">
            <v>6.9550000000000001</v>
          </cell>
        </row>
        <row r="28">
          <cell r="E28">
            <v>6.9050000000000002</v>
          </cell>
        </row>
      </sheetData>
      <sheetData sheetId="1">
        <row r="9">
          <cell r="C9">
            <v>173.625</v>
          </cell>
          <cell r="D9">
            <v>41.852473977128</v>
          </cell>
          <cell r="E9">
            <v>193.33333333333368</v>
          </cell>
          <cell r="F9">
            <v>37.190399999999997</v>
          </cell>
          <cell r="G9">
            <v>1.8758399999999997</v>
          </cell>
          <cell r="H9">
            <v>170000</v>
          </cell>
        </row>
        <row r="10">
          <cell r="C10">
            <v>13.620000000000003</v>
          </cell>
          <cell r="D10">
            <v>5.4499928459599998</v>
          </cell>
          <cell r="E10">
            <v>15.199999999999989</v>
          </cell>
          <cell r="F10">
            <v>5.8089599999999999</v>
          </cell>
          <cell r="G10">
            <v>0.46271999999999991</v>
          </cell>
          <cell r="H10">
            <v>550</v>
          </cell>
        </row>
        <row r="11">
          <cell r="C11">
            <v>1.6000000000000005</v>
          </cell>
          <cell r="D11">
            <v>2.0224503968419998</v>
          </cell>
          <cell r="E11">
            <v>1.8000000000000114</v>
          </cell>
          <cell r="F11">
            <v>5.5368000000000004</v>
          </cell>
          <cell r="G11">
            <v>5.0112000000000004E-2</v>
          </cell>
          <cell r="H11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954</v>
          </cell>
        </row>
        <row r="13">
          <cell r="G13">
            <v>1038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44434</v>
          </cell>
        </row>
        <row r="26">
          <cell r="E26">
            <v>7.3699999999999992</v>
          </cell>
        </row>
        <row r="27">
          <cell r="E27">
            <v>6.9450000000000003</v>
          </cell>
        </row>
        <row r="28">
          <cell r="E28">
            <v>6.8949999999999996</v>
          </cell>
        </row>
      </sheetData>
      <sheetData sheetId="1">
        <row r="9">
          <cell r="C9">
            <v>218.25</v>
          </cell>
          <cell r="D9">
            <v>31.500956548344</v>
          </cell>
          <cell r="E9">
            <v>203.3333333333336</v>
          </cell>
          <cell r="F9">
            <v>29.7288</v>
          </cell>
          <cell r="G9">
            <v>2.8147200000000003</v>
          </cell>
          <cell r="H9">
            <v>210000</v>
          </cell>
        </row>
        <row r="10">
          <cell r="C10">
            <v>15.929999999999996</v>
          </cell>
          <cell r="D10">
            <v>12.430648280382</v>
          </cell>
          <cell r="E10">
            <v>18.799999999999958</v>
          </cell>
          <cell r="F10">
            <v>6.4761600000000001</v>
          </cell>
          <cell r="G10">
            <v>0.44087999999999999</v>
          </cell>
          <cell r="H10">
            <v>850</v>
          </cell>
        </row>
        <row r="11">
          <cell r="C11">
            <v>2.12</v>
          </cell>
          <cell r="D11">
            <v>5.2837289759760004</v>
          </cell>
          <cell r="E11">
            <v>1.2000000000000171</v>
          </cell>
          <cell r="F11">
            <v>4.67136</v>
          </cell>
          <cell r="G11">
            <v>8.6736000000000008E-2</v>
          </cell>
          <cell r="H11">
            <v>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948</v>
          </cell>
        </row>
        <row r="13">
          <cell r="G13">
            <v>1031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44435</v>
          </cell>
        </row>
        <row r="26">
          <cell r="E26">
            <v>7.4550000000000001</v>
          </cell>
        </row>
        <row r="27">
          <cell r="E27">
            <v>6.9450000000000003</v>
          </cell>
        </row>
        <row r="28">
          <cell r="E28">
            <v>6.9050000000000002</v>
          </cell>
        </row>
      </sheetData>
      <sheetData sheetId="1">
        <row r="9">
          <cell r="C9">
            <v>176.25</v>
          </cell>
          <cell r="D9">
            <v>55.025284208355998</v>
          </cell>
          <cell r="E9">
            <v>140.00000000000009</v>
          </cell>
          <cell r="F9">
            <v>18.432000000000002</v>
          </cell>
          <cell r="G9">
            <v>8.1744000000000003</v>
          </cell>
          <cell r="H9">
            <v>140000</v>
          </cell>
        </row>
        <row r="10">
          <cell r="C10">
            <v>12</v>
          </cell>
          <cell r="D10">
            <v>7.6069159219040001</v>
          </cell>
          <cell r="E10">
            <v>12.800000000000011</v>
          </cell>
          <cell r="F10">
            <v>6.53904</v>
          </cell>
          <cell r="G10">
            <v>0.29563200000000001</v>
          </cell>
          <cell r="H10">
            <v>470</v>
          </cell>
        </row>
        <row r="11">
          <cell r="C11">
            <v>1.2599999999999998</v>
          </cell>
          <cell r="D11">
            <v>3.9966628245760001</v>
          </cell>
          <cell r="E11">
            <v>1.2000000000000171</v>
          </cell>
          <cell r="F11">
            <v>4.7073599999999995</v>
          </cell>
          <cell r="G11">
            <v>8.7168000000000009E-2</v>
          </cell>
          <cell r="H11">
            <v>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960</v>
          </cell>
        </row>
        <row r="13">
          <cell r="G13">
            <v>1034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44436</v>
          </cell>
        </row>
        <row r="26">
          <cell r="E26">
            <v>7.3699999999999992</v>
          </cell>
        </row>
        <row r="27">
          <cell r="E27">
            <v>0</v>
          </cell>
        </row>
        <row r="28">
          <cell r="E28">
            <v>6.9450000000000003</v>
          </cell>
        </row>
      </sheetData>
      <sheetData sheetId="1">
        <row r="9">
          <cell r="C9">
            <v>204.74999999999997</v>
          </cell>
          <cell r="D9">
            <v>51.244478181128002</v>
          </cell>
          <cell r="E9">
            <v>216.66666666666666</v>
          </cell>
          <cell r="F9">
            <v>41.584800000000001</v>
          </cell>
          <cell r="G9">
            <v>3.7048800000000002</v>
          </cell>
          <cell r="H9">
            <v>190000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2.17</v>
          </cell>
          <cell r="D11">
            <v>4.9546337533599996</v>
          </cell>
          <cell r="E11">
            <v>1.7</v>
          </cell>
          <cell r="F11">
            <v>3.67</v>
          </cell>
          <cell r="G11">
            <v>7.5999999999999998E-2</v>
          </cell>
          <cell r="H11">
            <v>8.5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936</v>
          </cell>
        </row>
        <row r="13">
          <cell r="G13">
            <v>1025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44437</v>
          </cell>
        </row>
        <row r="26">
          <cell r="E26">
            <v>7.4249999999999998</v>
          </cell>
        </row>
        <row r="27">
          <cell r="E27">
            <v>0</v>
          </cell>
        </row>
        <row r="28">
          <cell r="E28">
            <v>6.9649999999999999</v>
          </cell>
        </row>
      </sheetData>
      <sheetData sheetId="1">
        <row r="9">
          <cell r="C9">
            <v>171.00000000000003</v>
          </cell>
          <cell r="D9">
            <v>39.177889830976</v>
          </cell>
          <cell r="E9">
            <v>156.66666666666677</v>
          </cell>
          <cell r="F9">
            <v>37.488</v>
          </cell>
          <cell r="G9">
            <v>4.0605599999999997</v>
          </cell>
          <cell r="H9">
            <v>140000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1.3899999999999997</v>
          </cell>
          <cell r="D11">
            <v>5.0971470741919997</v>
          </cell>
          <cell r="E11">
            <v>1.7</v>
          </cell>
          <cell r="F11">
            <v>4.32</v>
          </cell>
          <cell r="G11">
            <v>8.7999999999999995E-2</v>
          </cell>
          <cell r="H11">
            <v>15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927</v>
          </cell>
        </row>
        <row r="13">
          <cell r="G13">
            <v>1020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44386</v>
          </cell>
        </row>
        <row r="26">
          <cell r="D26">
            <v>23.6</v>
          </cell>
        </row>
      </sheetData>
      <sheetData sheetId="1">
        <row r="9">
          <cell r="C9">
            <v>167.10000000000002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44438</v>
          </cell>
        </row>
        <row r="26">
          <cell r="E26">
            <v>7.2349999999999994</v>
          </cell>
        </row>
        <row r="27">
          <cell r="E27">
            <v>6.915</v>
          </cell>
        </row>
        <row r="28">
          <cell r="E28">
            <v>6.8550000000000004</v>
          </cell>
        </row>
      </sheetData>
      <sheetData sheetId="1">
        <row r="9">
          <cell r="C9">
            <v>202.12499999999994</v>
          </cell>
          <cell r="D9">
            <v>60.182945993216002</v>
          </cell>
          <cell r="E9">
            <v>223.33333333333343</v>
          </cell>
          <cell r="F9">
            <v>31.457999999999998</v>
          </cell>
          <cell r="G9">
            <v>3.4017600000000003</v>
          </cell>
          <cell r="H9">
            <v>240000</v>
          </cell>
        </row>
        <row r="10">
          <cell r="C10">
            <v>15.750000000000004</v>
          </cell>
          <cell r="D10">
            <v>15.570928567519999</v>
          </cell>
          <cell r="E10">
            <v>17.199999999999989</v>
          </cell>
          <cell r="F10">
            <v>5.1208799999999997</v>
          </cell>
          <cell r="G10">
            <v>0.27057599999999998</v>
          </cell>
          <cell r="H10">
            <v>680</v>
          </cell>
        </row>
        <row r="11">
          <cell r="C11">
            <v>1.3000000000000007</v>
          </cell>
          <cell r="D11">
            <v>6.0944677106440004</v>
          </cell>
          <cell r="E11">
            <v>1.1999999999999886</v>
          </cell>
          <cell r="F11">
            <v>4.1327999999999996</v>
          </cell>
          <cell r="G11">
            <v>9.6624000000000002E-2</v>
          </cell>
          <cell r="H11">
            <v>12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948</v>
          </cell>
        </row>
        <row r="13">
          <cell r="G13">
            <v>1030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44439</v>
          </cell>
        </row>
        <row r="26">
          <cell r="E26">
            <v>7.3049999999999997</v>
          </cell>
        </row>
        <row r="27">
          <cell r="E27">
            <v>6.9550000000000001</v>
          </cell>
        </row>
        <row r="28">
          <cell r="E28">
            <v>6.9450000000000003</v>
          </cell>
        </row>
      </sheetData>
      <sheetData sheetId="1">
        <row r="9">
          <cell r="C9">
            <v>170.99999999999997</v>
          </cell>
          <cell r="D9">
            <v>30.135959756727999</v>
          </cell>
          <cell r="E9">
            <v>143.33333333333368</v>
          </cell>
          <cell r="F9">
            <v>53.423999999999999</v>
          </cell>
          <cell r="G9">
            <v>4.7985600000000002</v>
          </cell>
          <cell r="H9">
            <v>140000</v>
          </cell>
        </row>
        <row r="10">
          <cell r="C10">
            <v>14.640000000000002</v>
          </cell>
          <cell r="D10">
            <v>10.980082764696</v>
          </cell>
          <cell r="E10">
            <v>9.1999999999999886</v>
          </cell>
          <cell r="F10">
            <v>5.4523199999999994</v>
          </cell>
          <cell r="G10">
            <v>0.45311999999999997</v>
          </cell>
          <cell r="H10">
            <v>710</v>
          </cell>
        </row>
        <row r="11">
          <cell r="C11">
            <v>1.54</v>
          </cell>
          <cell r="D11">
            <v>5.1946104025119997</v>
          </cell>
          <cell r="E11">
            <v>2.5999999999999948</v>
          </cell>
          <cell r="F11">
            <v>4.9343999999999992</v>
          </cell>
          <cell r="G11">
            <v>7.1327999999999989E-2</v>
          </cell>
          <cell r="H11">
            <v>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 refreshError="1"/>
      <sheetData sheetId="1" refreshError="1"/>
      <sheetData sheetId="2">
        <row r="12">
          <cell r="G12">
            <v>781</v>
          </cell>
        </row>
        <row r="13">
          <cell r="G13">
            <v>1015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zoomScaleSheetLayoutView="100" workbookViewId="0">
      <pane xSplit="1" ySplit="3" topLeftCell="B13" activePane="bottomRight" state="frozen"/>
      <selection activeCell="G34" sqref="G34"/>
      <selection pane="topRight" activeCell="G34" sqref="G34"/>
      <selection pane="bottomLeft" activeCell="G34" sqref="G34"/>
      <selection pane="bottomRight" activeCell="F26" sqref="F26"/>
    </sheetView>
  </sheetViews>
  <sheetFormatPr defaultRowHeight="16.5"/>
  <cols>
    <col min="1" max="1" width="9.875" bestFit="1" customWidth="1"/>
    <col min="2" max="2" width="9" style="114"/>
    <col min="3" max="3" width="9" style="115"/>
    <col min="4" max="5" width="9" style="114"/>
    <col min="6" max="6" width="10.5" style="6" bestFit="1" customWidth="1"/>
    <col min="7" max="7" width="9" style="6"/>
    <col min="8" max="8" width="9" style="8" customWidth="1"/>
    <col min="9" max="9" width="11" style="7" bestFit="1" customWidth="1"/>
    <col min="10" max="10" width="9.5" bestFit="1" customWidth="1"/>
    <col min="14" max="14" width="9.125" customWidth="1"/>
  </cols>
  <sheetData>
    <row r="1" spans="1:13" ht="24.95" customHeight="1" thickBot="1">
      <c r="A1" s="116" t="s">
        <v>24</v>
      </c>
      <c r="B1" s="116"/>
      <c r="C1" s="116"/>
      <c r="D1" s="116"/>
      <c r="E1" s="116"/>
      <c r="F1" s="116"/>
      <c r="G1" s="116"/>
      <c r="H1" s="116"/>
      <c r="I1" s="116"/>
    </row>
    <row r="2" spans="1:13" ht="20.100000000000001" customHeight="1">
      <c r="A2" s="117" t="s">
        <v>14</v>
      </c>
      <c r="B2" s="119" t="s">
        <v>12</v>
      </c>
      <c r="C2" s="120"/>
      <c r="D2" s="120"/>
      <c r="E2" s="120"/>
      <c r="F2" s="120"/>
      <c r="G2" s="120"/>
      <c r="H2" s="120"/>
      <c r="I2" s="121"/>
    </row>
    <row r="3" spans="1:13" ht="24.95" customHeight="1" thickBot="1">
      <c r="A3" s="118"/>
      <c r="B3" s="100" t="s">
        <v>3</v>
      </c>
      <c r="C3" s="101" t="s">
        <v>4</v>
      </c>
      <c r="D3" s="100" t="s">
        <v>23</v>
      </c>
      <c r="E3" s="100" t="s">
        <v>5</v>
      </c>
      <c r="F3" s="11" t="s">
        <v>6</v>
      </c>
      <c r="G3" s="11" t="s">
        <v>7</v>
      </c>
      <c r="H3" s="13" t="s">
        <v>8</v>
      </c>
      <c r="I3" s="12" t="s">
        <v>11</v>
      </c>
      <c r="J3" t="s">
        <v>22</v>
      </c>
    </row>
    <row r="4" spans="1:13" ht="20.100000000000001" customHeight="1" thickTop="1">
      <c r="A4" s="21">
        <f>[32]일반사항!$B$4</f>
        <v>44409</v>
      </c>
      <c r="B4" s="102">
        <f>[32]일반사항!$E$26</f>
        <v>7.35</v>
      </c>
      <c r="C4" s="103">
        <f>[32]실험기록부!$C$9</f>
        <v>206.25000000000003</v>
      </c>
      <c r="D4" s="102">
        <f>[32]실험기록부!$D$9</f>
        <v>75.122383318112</v>
      </c>
      <c r="E4" s="104">
        <f>[32]실험기록부!$E$9</f>
        <v>173.33333333333343</v>
      </c>
      <c r="F4" s="23">
        <f>[32]실험기록부!$F$9</f>
        <v>52.511999999999993</v>
      </c>
      <c r="G4" s="23">
        <f>[32]실험기록부!$G$9</f>
        <v>5.3841599999999996</v>
      </c>
      <c r="H4" s="24">
        <f>[32]실험기록부!$H$9</f>
        <v>190000</v>
      </c>
      <c r="I4" s="26">
        <f>[33]커버3!$G$12</f>
        <v>744</v>
      </c>
      <c r="J4" s="96">
        <f>[1]일반사항!$D$26</f>
        <v>23.15</v>
      </c>
    </row>
    <row r="5" spans="1:13" ht="20.100000000000001" customHeight="1">
      <c r="A5" s="25">
        <f>[34]일반사항!$B$4</f>
        <v>44410</v>
      </c>
      <c r="B5" s="105">
        <f>[34]일반사항!$E$26</f>
        <v>7.4499999999999993</v>
      </c>
      <c r="C5" s="106">
        <f>[34]실험기록부!$C$9</f>
        <v>191.25</v>
      </c>
      <c r="D5" s="105">
        <f>[34]실험기록부!$D$9</f>
        <v>80.661790551576004</v>
      </c>
      <c r="E5" s="107">
        <f>[34]실험기록부!$E$9</f>
        <v>183.33333333333334</v>
      </c>
      <c r="F5" s="19">
        <f>[34]실험기록부!$F$9</f>
        <v>31.862399999999997</v>
      </c>
      <c r="G5" s="19">
        <f>[34]실험기록부!$G$9</f>
        <v>3.40272</v>
      </c>
      <c r="H5" s="20">
        <f>[34]실험기록부!$H$9</f>
        <v>170000</v>
      </c>
      <c r="I5" s="27">
        <f>[35]커버3!$G$12</f>
        <v>937</v>
      </c>
      <c r="J5" s="96">
        <f>[2]일반사항!$D$26</f>
        <v>22.25</v>
      </c>
    </row>
    <row r="6" spans="1:13" ht="20.100000000000001" customHeight="1">
      <c r="A6" s="25">
        <f>[36]일반사항!$B$4</f>
        <v>44411</v>
      </c>
      <c r="B6" s="105">
        <f>[36]일반사항!$E$26</f>
        <v>7.3450000000000006</v>
      </c>
      <c r="C6" s="106">
        <f>[36]실험기록부!$C$9</f>
        <v>216</v>
      </c>
      <c r="D6" s="105">
        <f>[36]실험기록부!$D$9</f>
        <v>36.395539953175998</v>
      </c>
      <c r="E6" s="107">
        <f>[36]실험기록부!$E$9</f>
        <v>183.33333333333334</v>
      </c>
      <c r="F6" s="19">
        <f>[36]실험기록부!$F$9</f>
        <v>20.359200000000001</v>
      </c>
      <c r="G6" s="19">
        <f>[36]실험기록부!$G$9</f>
        <v>2.32464</v>
      </c>
      <c r="H6" s="20">
        <f>[36]실험기록부!$H$9</f>
        <v>170000</v>
      </c>
      <c r="I6" s="27">
        <f>[37]커버3!$G$12</f>
        <v>994</v>
      </c>
      <c r="J6" s="96">
        <f>[3]일반사항!$D$26</f>
        <v>21.75</v>
      </c>
    </row>
    <row r="7" spans="1:13" ht="20.100000000000001" customHeight="1">
      <c r="A7" s="25">
        <f>[38]일반사항!$B$4</f>
        <v>44412</v>
      </c>
      <c r="B7" s="105">
        <f>[38]일반사항!$E$26</f>
        <v>7.4649999999999999</v>
      </c>
      <c r="C7" s="106">
        <f>[38]실험기록부!$C$9</f>
        <v>170.62499999999997</v>
      </c>
      <c r="D7" s="105">
        <f>[38]실험기록부!$D$9</f>
        <v>30.027138325344001</v>
      </c>
      <c r="E7" s="107">
        <f>[38]실험기록부!$E$9</f>
        <v>160.00000000000037</v>
      </c>
      <c r="F7" s="19">
        <f>[38]실험기록부!$F$9</f>
        <v>37.579199999999993</v>
      </c>
      <c r="G7" s="19">
        <f>[38]실험기록부!$G$9</f>
        <v>4.0483200000000004</v>
      </c>
      <c r="H7" s="20">
        <f>[38]실험기록부!$H$9</f>
        <v>150000</v>
      </c>
      <c r="I7" s="27">
        <f>[39]커버3!$G$12</f>
        <v>938</v>
      </c>
      <c r="J7" s="96">
        <f>[4]일반사항!$D$26</f>
        <v>21.55</v>
      </c>
    </row>
    <row r="8" spans="1:13" ht="20.100000000000001" customHeight="1">
      <c r="A8" s="25">
        <f>[40]일반사항!$B$4</f>
        <v>44413</v>
      </c>
      <c r="B8" s="105">
        <f>[40]일반사항!$E$26</f>
        <v>7.3249999999999993</v>
      </c>
      <c r="C8" s="106">
        <f>[40]실험기록부!$C$9</f>
        <v>196.49999999999997</v>
      </c>
      <c r="D8" s="105">
        <f>[40]실험기록부!$D$9</f>
        <v>61.361267741135997</v>
      </c>
      <c r="E8" s="107">
        <f>[40]실험기록부!$E$9</f>
        <v>219.99999999999983</v>
      </c>
      <c r="F8" s="19">
        <f>[40]실험기록부!$F$9</f>
        <v>47.349599999999995</v>
      </c>
      <c r="G8" s="19">
        <f>[40]실험기록부!$G$9</f>
        <v>4.2182400000000007</v>
      </c>
      <c r="H8" s="20">
        <f>[40]실험기록부!$H$9</f>
        <v>200000</v>
      </c>
      <c r="I8" s="27">
        <f>[41]커버3!$G$12</f>
        <v>747</v>
      </c>
      <c r="J8" s="96">
        <f>[5]일반사항!$D$26</f>
        <v>23.4</v>
      </c>
    </row>
    <row r="9" spans="1:13" ht="20.100000000000001" customHeight="1">
      <c r="A9" s="25">
        <f>[42]일반사항!$B$4</f>
        <v>44414</v>
      </c>
      <c r="B9" s="105">
        <f>[42]일반사항!$E$26</f>
        <v>7.46</v>
      </c>
      <c r="C9" s="106">
        <f>[42]실험기록부!$C$9</f>
        <v>187.5</v>
      </c>
      <c r="D9" s="105">
        <f>[42]실험기록부!$D$9</f>
        <v>71.735258595420007</v>
      </c>
      <c r="E9" s="107">
        <f>[42]실험기록부!$E$9</f>
        <v>193.33333333333323</v>
      </c>
      <c r="F9" s="19">
        <f>[42]실험기록부!$F$9</f>
        <v>22.8504</v>
      </c>
      <c r="G9" s="19">
        <f>[42]실험기록부!$G$9</f>
        <v>2.2478400000000001</v>
      </c>
      <c r="H9" s="20">
        <f>[42]실험기록부!$H$9</f>
        <v>180000</v>
      </c>
      <c r="I9" s="27">
        <f>[43]커버3!$G$12</f>
        <v>693</v>
      </c>
      <c r="J9" s="96">
        <f>[6]일반사항!$D$26</f>
        <v>23.55</v>
      </c>
      <c r="M9" t="s">
        <v>15</v>
      </c>
    </row>
    <row r="10" spans="1:13" ht="20.100000000000001" customHeight="1">
      <c r="A10" s="25">
        <f>[44]일반사항!$B$4</f>
        <v>44415</v>
      </c>
      <c r="B10" s="105">
        <f>[44]일반사항!$E$26</f>
        <v>7.43</v>
      </c>
      <c r="C10" s="106">
        <f>[44]실험기록부!$C$9</f>
        <v>183.74999999999997</v>
      </c>
      <c r="D10" s="105">
        <f>[44]실험기록부!$D$9</f>
        <v>74.267675988959994</v>
      </c>
      <c r="E10" s="107">
        <f>[44]실험기록부!$E$9</f>
        <v>206.66666666666677</v>
      </c>
      <c r="F10" s="19">
        <f>[44]실험기록부!$F$9</f>
        <v>30.982800000000005</v>
      </c>
      <c r="G10" s="19">
        <f>[44]실험기록부!$G$9</f>
        <v>2.70336</v>
      </c>
      <c r="H10" s="20">
        <f>[44]실험기록부!$H$9</f>
        <v>200000</v>
      </c>
      <c r="I10" s="27">
        <f>[45]커버3!$G$12</f>
        <v>818</v>
      </c>
      <c r="J10" s="96">
        <f>[7]일반사항!$D$26</f>
        <v>23.65</v>
      </c>
      <c r="M10" t="s">
        <v>16</v>
      </c>
    </row>
    <row r="11" spans="1:13" ht="20.100000000000001" customHeight="1">
      <c r="A11" s="25">
        <f>[46]일반사항!$B$4</f>
        <v>44416</v>
      </c>
      <c r="B11" s="105">
        <f>[46]일반사항!$E$26</f>
        <v>7.26</v>
      </c>
      <c r="C11" s="106">
        <f>[46]실험기록부!$C$9</f>
        <v>233.25000000000003</v>
      </c>
      <c r="D11" s="105">
        <f>[46]실험기록부!$D$9</f>
        <v>73.090707322399993</v>
      </c>
      <c r="E11" s="107">
        <f>[46]실험기록부!$E$9</f>
        <v>3450.0000000000027</v>
      </c>
      <c r="F11" s="19">
        <f>[46]실험기록부!$F$9</f>
        <v>30.982800000000005</v>
      </c>
      <c r="G11" s="19">
        <f>[46]실험기록부!$G$9</f>
        <v>2.70336</v>
      </c>
      <c r="H11" s="20">
        <f>[46]실험기록부!$H$9</f>
        <v>230000</v>
      </c>
      <c r="I11" s="27">
        <f>[47]커버3!$G$12</f>
        <v>643</v>
      </c>
      <c r="J11" s="96">
        <f>[8]일반사항!$D$26</f>
        <v>23.7</v>
      </c>
      <c r="M11" t="s">
        <v>17</v>
      </c>
    </row>
    <row r="12" spans="1:13" ht="20.100000000000001" customHeight="1">
      <c r="A12" s="25">
        <f>[48]일반사항!$B$4</f>
        <v>44417</v>
      </c>
      <c r="B12" s="105">
        <f>[48]일반사항!$E$26</f>
        <v>7.4950000000000001</v>
      </c>
      <c r="C12" s="106">
        <f>[48]실험기록부!$C$9</f>
        <v>173.62500000000003</v>
      </c>
      <c r="D12" s="105">
        <f>[48]실험기록부!$D$9</f>
        <v>41.358191776879998</v>
      </c>
      <c r="E12" s="107">
        <f>[48]실험기록부!$E$9</f>
        <v>186.66666666666649</v>
      </c>
      <c r="F12" s="19">
        <f>[48]실험기록부!$F$9</f>
        <v>41.522399999999998</v>
      </c>
      <c r="G12" s="19">
        <f>[48]실험기록부!$G$9</f>
        <v>4.5235200000000004</v>
      </c>
      <c r="H12" s="20">
        <f>[48]실험기록부!$H$9</f>
        <v>160000</v>
      </c>
      <c r="I12" s="27">
        <f>[49]커버3!$G$12</f>
        <v>616</v>
      </c>
      <c r="J12" s="96">
        <f>[9]일반사항!$D$26</f>
        <v>23.6</v>
      </c>
      <c r="M12" t="s">
        <v>18</v>
      </c>
    </row>
    <row r="13" spans="1:13" ht="20.100000000000001" customHeight="1">
      <c r="A13" s="25">
        <f>[50]일반사항!$B$4</f>
        <v>44418</v>
      </c>
      <c r="B13" s="105">
        <f>[50]일반사항!$E$26</f>
        <v>7.1950000000000003</v>
      </c>
      <c r="C13" s="106">
        <f>[50]실험기록부!$C$9</f>
        <v>217.125</v>
      </c>
      <c r="D13" s="105">
        <f>[50]실험기록부!$D$9</f>
        <v>44.677565948800002</v>
      </c>
      <c r="E13" s="107">
        <f>[50]실험기록부!$E$9</f>
        <v>206.66666666666677</v>
      </c>
      <c r="F13" s="19">
        <f>[50]실험기록부!$F$9</f>
        <v>44.556000000000004</v>
      </c>
      <c r="G13" s="19">
        <f>[50]실험기록부!$G$9</f>
        <v>4.4731199999999998</v>
      </c>
      <c r="H13" s="20">
        <f>[50]실험기록부!$H$9</f>
        <v>200000</v>
      </c>
      <c r="I13" s="27">
        <f>[51]커버3!$G$12</f>
        <v>642</v>
      </c>
      <c r="J13" s="96">
        <f>[10]일반사항!$D$26</f>
        <v>23.55</v>
      </c>
      <c r="M13" t="s">
        <v>19</v>
      </c>
    </row>
    <row r="14" spans="1:13" ht="20.100000000000001" customHeight="1">
      <c r="A14" s="25">
        <f>[52]일반사항!$B$4</f>
        <v>44419</v>
      </c>
      <c r="B14" s="105">
        <f>[52]일반사항!$E$26</f>
        <v>7.4050000000000002</v>
      </c>
      <c r="C14" s="106">
        <f>[52]실험기록부!$C$9</f>
        <v>185.62499999999997</v>
      </c>
      <c r="D14" s="105">
        <f>[52]실험기록부!$D$9</f>
        <v>45.078887064623999</v>
      </c>
      <c r="E14" s="107">
        <f>[52]실험기록부!$E$9</f>
        <v>163.33333333333351</v>
      </c>
      <c r="F14" s="19">
        <f>[52]실험기록부!$F$9</f>
        <v>34.221600000000002</v>
      </c>
      <c r="G14" s="19">
        <f>[52]실험기록부!$G$9</f>
        <v>3.3959999999999995</v>
      </c>
      <c r="H14" s="20">
        <f>[52]실험기록부!$H$9</f>
        <v>170000</v>
      </c>
      <c r="I14" s="27">
        <f>[53]커버3!$G$12</f>
        <v>636</v>
      </c>
      <c r="J14" s="96">
        <f>[11]일반사항!$D$26</f>
        <v>23.65</v>
      </c>
      <c r="M14" t="s">
        <v>20</v>
      </c>
    </row>
    <row r="15" spans="1:13" ht="20.100000000000001" customHeight="1">
      <c r="A15" s="25">
        <f>[54]일반사항!$B$4</f>
        <v>44420</v>
      </c>
      <c r="B15" s="105">
        <f>[54]일반사항!$E$26</f>
        <v>7.335</v>
      </c>
      <c r="C15" s="106">
        <f>[54]실험기록부!$C$9</f>
        <v>193.87500000000003</v>
      </c>
      <c r="D15" s="105">
        <f>[54]실험기록부!$D$9</f>
        <v>73.020889152728003</v>
      </c>
      <c r="E15" s="107">
        <f>[54]실험기록부!$E$9</f>
        <v>176.66666666666657</v>
      </c>
      <c r="F15" s="19">
        <f>[54]실험기록부!$F$9</f>
        <v>33.292800000000007</v>
      </c>
      <c r="G15" s="19">
        <f>[54]실험기록부!$G$9</f>
        <v>3.1137600000000001</v>
      </c>
      <c r="H15" s="20">
        <f>[54]실험기록부!$H$9</f>
        <v>160000</v>
      </c>
      <c r="I15" s="27">
        <f>[55]커버3!$G$12</f>
        <v>551</v>
      </c>
      <c r="J15" s="96">
        <f>[12]일반사항!$D$26</f>
        <v>23.7</v>
      </c>
    </row>
    <row r="16" spans="1:13" ht="20.100000000000001" customHeight="1">
      <c r="A16" s="25">
        <f>[56]일반사항!$B$4</f>
        <v>44421</v>
      </c>
      <c r="B16" s="105">
        <f>[56]일반사항!$E$26</f>
        <v>7.4450000000000003</v>
      </c>
      <c r="C16" s="106">
        <f>[56]실험기록부!$C$9</f>
        <v>222</v>
      </c>
      <c r="D16" s="105">
        <f>[56]실험기록부!$D$9</f>
        <v>80.865426212840006</v>
      </c>
      <c r="E16" s="107">
        <f>[56]실험기록부!$E$9</f>
        <v>203.3333333333336</v>
      </c>
      <c r="F16" s="19">
        <f>[56]실험기록부!$F$9</f>
        <v>35.028000000000006</v>
      </c>
      <c r="G16" s="19">
        <f>[56]실험기록부!$G$9</f>
        <v>3.0748800000000003</v>
      </c>
      <c r="H16" s="20">
        <f>[56]실험기록부!$H$9</f>
        <v>230000</v>
      </c>
      <c r="I16" s="27">
        <f>[57]커버3!$G$12</f>
        <v>609</v>
      </c>
      <c r="J16" s="96">
        <f>[13]일반사항!$D$26</f>
        <v>23.55</v>
      </c>
    </row>
    <row r="17" spans="1:10" ht="20.100000000000001" customHeight="1">
      <c r="A17" s="25">
        <f>[58]일반사항!$B$4</f>
        <v>44422</v>
      </c>
      <c r="B17" s="105">
        <f>[58]일반사항!$E$26</f>
        <v>7.2050000000000001</v>
      </c>
      <c r="C17" s="106">
        <f>[58]실험기록부!$C$9</f>
        <v>196.12500000000003</v>
      </c>
      <c r="D17" s="105">
        <f>[58]실험기록부!$D$9</f>
        <v>64.508788568192003</v>
      </c>
      <c r="E17" s="107">
        <f>[58]실험기록부!$E$9</f>
        <v>209.99999999999991</v>
      </c>
      <c r="F17" s="19">
        <f>[58]실험기록부!$F$9</f>
        <v>49.411199999999994</v>
      </c>
      <c r="G17" s="19">
        <f>[58]실험기록부!$G$9</f>
        <v>5.4674399999999999</v>
      </c>
      <c r="H17" s="20">
        <f>[58]실험기록부!$H$9</f>
        <v>180000</v>
      </c>
      <c r="I17" s="27">
        <f>[59]커버3!$G$12</f>
        <v>570</v>
      </c>
      <c r="J17" s="96">
        <f>[14]일반사항!$D$26</f>
        <v>23.45</v>
      </c>
    </row>
    <row r="18" spans="1:10" ht="20.100000000000001" customHeight="1">
      <c r="A18" s="25">
        <f>[60]일반사항!$B$4</f>
        <v>44423</v>
      </c>
      <c r="B18" s="105">
        <f>[60]일반사항!$E$26</f>
        <v>7.2549999999999999</v>
      </c>
      <c r="C18" s="106">
        <f>[60]실험기록부!$C$9</f>
        <v>217.87500000000003</v>
      </c>
      <c r="D18" s="105">
        <f>[60]실험기록부!$D$9</f>
        <v>58.208994062960002</v>
      </c>
      <c r="E18" s="107">
        <f>[60]실험기록부!$E$9</f>
        <v>219.99999999999983</v>
      </c>
      <c r="F18" s="19">
        <f>[60]실험기록부!$F$9</f>
        <v>53.512799999999999</v>
      </c>
      <c r="G18" s="19">
        <f>[60]실험기록부!$G$9</f>
        <v>4.7558400000000001</v>
      </c>
      <c r="H18" s="20">
        <f>[60]실험기록부!$H$9</f>
        <v>220000</v>
      </c>
      <c r="I18" s="27">
        <f>[61]커버3!$G$12</f>
        <v>569</v>
      </c>
      <c r="J18" s="96">
        <f>[15]일반사항!$D$26</f>
        <v>23.5</v>
      </c>
    </row>
    <row r="19" spans="1:10" ht="20.100000000000001" customHeight="1">
      <c r="A19" s="25">
        <f>[62]일반사항!$B$4</f>
        <v>44424</v>
      </c>
      <c r="B19" s="105">
        <f>[62]일반사항!$E$26</f>
        <v>7.41</v>
      </c>
      <c r="C19" s="106">
        <f>[62]실험기록부!$C$9</f>
        <v>175.87499999999997</v>
      </c>
      <c r="D19" s="105">
        <f>[62]실험기록부!$D$9</f>
        <v>87.624728699784001</v>
      </c>
      <c r="E19" s="107">
        <f>[62]실험기록부!$E$9</f>
        <v>156.66666666666677</v>
      </c>
      <c r="F19" s="19">
        <f>[62]실험기록부!$F$9</f>
        <v>43.010399999999997</v>
      </c>
      <c r="G19" s="19">
        <f>[62]실험기록부!$G$9</f>
        <v>4.2048000000000005</v>
      </c>
      <c r="H19" s="20">
        <f>[62]실험기록부!$H$9</f>
        <v>140000</v>
      </c>
      <c r="I19" s="27">
        <f>[63]커버3!$G$12</f>
        <v>551</v>
      </c>
      <c r="J19" s="96">
        <f>[16]일반사항!$D$26</f>
        <v>23.6</v>
      </c>
    </row>
    <row r="20" spans="1:10" ht="20.100000000000001" customHeight="1">
      <c r="A20" s="25">
        <f>[64]일반사항!$B$4</f>
        <v>44425</v>
      </c>
      <c r="B20" s="105">
        <f>[64]일반사항!$E$26</f>
        <v>7.5049999999999999</v>
      </c>
      <c r="C20" s="106">
        <f>[64]실험기록부!$C$9</f>
        <v>233.25000000000003</v>
      </c>
      <c r="D20" s="105">
        <f>[64]실험기록부!$D$9</f>
        <v>39.564322802395999</v>
      </c>
      <c r="E20" s="107">
        <f>[64]실험기록부!$E$9</f>
        <v>226.66666666666657</v>
      </c>
      <c r="F20" s="19">
        <f>[64]실험기록부!$F$9</f>
        <v>53.870399999999997</v>
      </c>
      <c r="G20" s="19">
        <f>[64]실험기록부!$G$9</f>
        <v>5.0640000000000001</v>
      </c>
      <c r="H20" s="20">
        <f>[64]실험기록부!$H$9</f>
        <v>220000</v>
      </c>
      <c r="I20" s="27">
        <f>[65]커버3!$G$12</f>
        <v>578</v>
      </c>
      <c r="J20" s="96">
        <f>[17]일반사항!$D$26</f>
        <v>23.55</v>
      </c>
    </row>
    <row r="21" spans="1:10" ht="20.100000000000001" customHeight="1">
      <c r="A21" s="25">
        <f>[66]일반사항!$B$4</f>
        <v>44426</v>
      </c>
      <c r="B21" s="105">
        <f>[66]일반사항!$E$26</f>
        <v>7.25</v>
      </c>
      <c r="C21" s="106">
        <f>[66]실험기록부!$C$9</f>
        <v>176.62500000000003</v>
      </c>
      <c r="D21" s="105">
        <f>[66]실험기록부!$D$9</f>
        <v>46.492328067000003</v>
      </c>
      <c r="E21" s="107">
        <f>[66]실험기록부!$E$9</f>
        <v>166.66666666666666</v>
      </c>
      <c r="F21" s="19">
        <f>[66]실험기록부!$F$9</f>
        <v>48.252000000000002</v>
      </c>
      <c r="G21" s="19">
        <f>[66]실험기록부!$G$9</f>
        <v>4.5969600000000002</v>
      </c>
      <c r="H21" s="20">
        <f>[66]실험기록부!$H$9</f>
        <v>170000</v>
      </c>
      <c r="I21" s="27">
        <f>[67]커버3!$G$12</f>
        <v>547</v>
      </c>
      <c r="J21" s="96">
        <f>[18]일반사항!$D$26</f>
        <v>23.5</v>
      </c>
    </row>
    <row r="22" spans="1:10" ht="20.100000000000001" customHeight="1">
      <c r="A22" s="25">
        <f>[68]일반사항!$B$4</f>
        <v>44427</v>
      </c>
      <c r="B22" s="105">
        <f>[68]일반사항!$E$26</f>
        <v>7.33</v>
      </c>
      <c r="C22" s="106">
        <f>[68]실험기록부!$C$9</f>
        <v>196.875</v>
      </c>
      <c r="D22" s="105">
        <f>[68]실험기록부!$D$9</f>
        <v>85.926364695667999</v>
      </c>
      <c r="E22" s="107">
        <f>[68]실험기록부!$E$9</f>
        <v>226.66666666666657</v>
      </c>
      <c r="F22" s="19">
        <f>[68]실험기록부!$F$9</f>
        <v>40.559999999999995</v>
      </c>
      <c r="G22" s="19">
        <f>[68]실험기록부!$G$9</f>
        <v>4.1779200000000003</v>
      </c>
      <c r="H22" s="20">
        <f>[68]실험기록부!$H$9</f>
        <v>180000</v>
      </c>
      <c r="I22" s="27">
        <f>[69]커버3!$G$12</f>
        <v>553</v>
      </c>
      <c r="J22" s="96">
        <f>[19]일반사항!$D$26</f>
        <v>21.1</v>
      </c>
    </row>
    <row r="23" spans="1:10" ht="20.100000000000001" customHeight="1">
      <c r="A23" s="25">
        <f>[70]일반사항!$B$4</f>
        <v>44428</v>
      </c>
      <c r="B23" s="105">
        <f>[70]일반사항!$E$26</f>
        <v>7.4849999999999994</v>
      </c>
      <c r="C23" s="106">
        <f>[70]실험기록부!$C$9</f>
        <v>181.87500000000003</v>
      </c>
      <c r="D23" s="105">
        <f>[70]실험기록부!$D$9</f>
        <v>75.952972162104004</v>
      </c>
      <c r="E23" s="107">
        <f>[70]실험기록부!$E$9</f>
        <v>176.66666666666703</v>
      </c>
      <c r="F23" s="19">
        <f>[70]실험기록부!$F$9</f>
        <v>40.586399999999998</v>
      </c>
      <c r="G23" s="19">
        <f>[70]실험기록부!$G$9</f>
        <v>4.5542400000000001</v>
      </c>
      <c r="H23" s="20">
        <f>[70]실험기록부!$H$9</f>
        <v>180000</v>
      </c>
      <c r="I23" s="27">
        <f>[71]커버3!$G$12</f>
        <v>533</v>
      </c>
      <c r="J23" s="96">
        <f>[20]일반사항!$D$26</f>
        <v>23.6</v>
      </c>
    </row>
    <row r="24" spans="1:10" ht="20.100000000000001" customHeight="1">
      <c r="A24" s="25">
        <f>[72]일반사항!$B$4</f>
        <v>44429</v>
      </c>
      <c r="B24" s="105">
        <f>[72]일반사항!$E$26</f>
        <v>7.3599999999999994</v>
      </c>
      <c r="C24" s="106">
        <f>[72]실험기록부!$C$9</f>
        <v>174.75000000000003</v>
      </c>
      <c r="D24" s="105">
        <f>[72]실험기록부!$D$9</f>
        <v>82.226532898683999</v>
      </c>
      <c r="E24" s="107">
        <f>[72]실험기록부!$E$9</f>
        <v>166.66666666666666</v>
      </c>
      <c r="F24" s="19">
        <f>[72]실험기록부!$F$9</f>
        <v>38.743200000000009</v>
      </c>
      <c r="G24" s="19">
        <f>[72]실험기록부!$G$9</f>
        <v>3.6201599999999998</v>
      </c>
      <c r="H24" s="20">
        <f>[72]실험기록부!$H$9</f>
        <v>170000</v>
      </c>
      <c r="I24" s="27">
        <f>[73]커버3!$G$12</f>
        <v>695</v>
      </c>
      <c r="J24" s="96">
        <f>[21]일반사항!$D$26</f>
        <v>25.25</v>
      </c>
    </row>
    <row r="25" spans="1:10" ht="20.100000000000001" customHeight="1">
      <c r="A25" s="25">
        <f>[74]일반사항!$B$4</f>
        <v>44430</v>
      </c>
      <c r="B25" s="105">
        <f>[74]일반사항!$E$26</f>
        <v>7.2149999999999999</v>
      </c>
      <c r="C25" s="106">
        <f>[74]실험기록부!$C$9</f>
        <v>214.5</v>
      </c>
      <c r="D25" s="105">
        <f>[74]실험기록부!$D$9</f>
        <v>91.591788783704004</v>
      </c>
      <c r="E25" s="107">
        <f>[74]실험기록부!$E$9</f>
        <v>206.66666666666677</v>
      </c>
      <c r="F25" s="19">
        <f>[74]실험기록부!$F$9</f>
        <v>55.2408</v>
      </c>
      <c r="G25" s="19">
        <f>[74]실험기록부!$G$9</f>
        <v>4.6079999999999997</v>
      </c>
      <c r="H25" s="20">
        <f>[74]실험기록부!$H$9</f>
        <v>200000</v>
      </c>
      <c r="I25" s="27">
        <f>[75]커버3!$G$12</f>
        <v>609</v>
      </c>
      <c r="J25" s="96">
        <f>[22]일반사항!$D$26</f>
        <v>25.3</v>
      </c>
    </row>
    <row r="26" spans="1:10" ht="20.100000000000001" customHeight="1">
      <c r="A26" s="25">
        <f>[76]일반사항!$B$4</f>
        <v>44431</v>
      </c>
      <c r="B26" s="105">
        <f>[76]일반사항!$E$26</f>
        <v>7.54</v>
      </c>
      <c r="C26" s="106">
        <f>[76]실험기록부!$C$9</f>
        <v>174.00000000000003</v>
      </c>
      <c r="D26" s="105">
        <f>[76]실험기록부!$D$9</f>
        <v>57.618313170724001</v>
      </c>
      <c r="E26" s="107">
        <f>[76]실험기록부!$E$9</f>
        <v>156.66666666666677</v>
      </c>
      <c r="F26" s="19">
        <f>[76]실험기록부!$F$9</f>
        <v>50.380799999999994</v>
      </c>
      <c r="G26" s="19">
        <f>[76]실험기록부!$G$9</f>
        <v>3.5068799999999998</v>
      </c>
      <c r="H26" s="20">
        <f>[76]실험기록부!$H$9</f>
        <v>140000</v>
      </c>
      <c r="I26" s="27">
        <f>[77]커버3!$G$12</f>
        <v>778</v>
      </c>
      <c r="J26" s="96">
        <f>[23]일반사항!$D$26</f>
        <v>25.4</v>
      </c>
    </row>
    <row r="27" spans="1:10" ht="20.100000000000001" customHeight="1">
      <c r="A27" s="25">
        <f>[78]일반사항!$B$4</f>
        <v>44432</v>
      </c>
      <c r="B27" s="105">
        <f>[78]일반사항!$E$26</f>
        <v>7.44</v>
      </c>
      <c r="C27" s="106">
        <f>[78]실험기록부!$C$9</f>
        <v>161.62500000000003</v>
      </c>
      <c r="D27" s="105">
        <f>[78]실험기록부!$D$9</f>
        <v>35.456148275903999</v>
      </c>
      <c r="E27" s="107">
        <f>[78]실험기록부!$E$9</f>
        <v>146.66666666666686</v>
      </c>
      <c r="F27" s="19">
        <f>[78]실험기록부!$F$9</f>
        <v>23.531999999999996</v>
      </c>
      <c r="G27" s="19">
        <f>[78]실험기록부!$G$9</f>
        <v>2.6255999999999995</v>
      </c>
      <c r="H27" s="20">
        <f>[78]실험기록부!$H$9</f>
        <v>140000</v>
      </c>
      <c r="I27" s="27">
        <f>[79]커버3!$G$12</f>
        <v>855</v>
      </c>
      <c r="J27" s="96">
        <f>[24]일반사항!$D$26</f>
        <v>25.45</v>
      </c>
    </row>
    <row r="28" spans="1:10" ht="20.100000000000001" customHeight="1">
      <c r="A28" s="25">
        <f>[80]일반사항!$B$4</f>
        <v>44433</v>
      </c>
      <c r="B28" s="105">
        <f>[80]일반사항!$E$26</f>
        <v>7.5049999999999999</v>
      </c>
      <c r="C28" s="106">
        <f>[80]실험기록부!$C$9</f>
        <v>173.625</v>
      </c>
      <c r="D28" s="105">
        <f>[80]실험기록부!$D$9</f>
        <v>41.852473977128</v>
      </c>
      <c r="E28" s="107">
        <f>[80]실험기록부!$E$9</f>
        <v>193.33333333333368</v>
      </c>
      <c r="F28" s="19">
        <f>[80]실험기록부!$F$9</f>
        <v>37.190399999999997</v>
      </c>
      <c r="G28" s="19">
        <f>[80]실험기록부!$G$9</f>
        <v>1.8758399999999997</v>
      </c>
      <c r="H28" s="20">
        <f>[80]실험기록부!$H$9</f>
        <v>170000</v>
      </c>
      <c r="I28" s="27">
        <f>[81]커버3!$G$12</f>
        <v>954</v>
      </c>
      <c r="J28" s="96">
        <f>[25]일반사항!$D$26</f>
        <v>25.45</v>
      </c>
    </row>
    <row r="29" spans="1:10" ht="20.100000000000001" customHeight="1">
      <c r="A29" s="25">
        <f>[82]일반사항!$B$4</f>
        <v>44434</v>
      </c>
      <c r="B29" s="105">
        <f>[82]일반사항!$E$26</f>
        <v>7.3699999999999992</v>
      </c>
      <c r="C29" s="106">
        <f>[82]실험기록부!$C$9</f>
        <v>218.25</v>
      </c>
      <c r="D29" s="105">
        <f>[82]실험기록부!$D$9</f>
        <v>31.500956548344</v>
      </c>
      <c r="E29" s="107">
        <f>[82]실험기록부!$E$9</f>
        <v>203.3333333333336</v>
      </c>
      <c r="F29" s="19">
        <f>[82]실험기록부!$F$9</f>
        <v>29.7288</v>
      </c>
      <c r="G29" s="19">
        <f>[82]실험기록부!$G$9</f>
        <v>2.8147200000000003</v>
      </c>
      <c r="H29" s="20">
        <f>[82]실험기록부!$H$9</f>
        <v>210000</v>
      </c>
      <c r="I29" s="27">
        <f>[83]커버3!$G$12</f>
        <v>948</v>
      </c>
      <c r="J29" s="96">
        <f>[26]일반사항!$D$26</f>
        <v>25.7</v>
      </c>
    </row>
    <row r="30" spans="1:10" ht="20.100000000000001" customHeight="1">
      <c r="A30" s="25">
        <f>[84]일반사항!$B$4</f>
        <v>44435</v>
      </c>
      <c r="B30" s="105">
        <f>[84]일반사항!$E$26</f>
        <v>7.4550000000000001</v>
      </c>
      <c r="C30" s="106">
        <f>[84]실험기록부!$C$9</f>
        <v>176.25</v>
      </c>
      <c r="D30" s="105">
        <f>[84]실험기록부!$D$9</f>
        <v>55.025284208355998</v>
      </c>
      <c r="E30" s="107">
        <f>[84]실험기록부!$E$9</f>
        <v>140.00000000000009</v>
      </c>
      <c r="F30" s="19">
        <f>[84]실험기록부!$F$9</f>
        <v>18.432000000000002</v>
      </c>
      <c r="G30" s="19">
        <f>[84]실험기록부!$G$9</f>
        <v>8.1744000000000003</v>
      </c>
      <c r="H30" s="20">
        <f>[84]실험기록부!$H$9</f>
        <v>140000</v>
      </c>
      <c r="I30" s="27">
        <f>[85]커버3!$G$12</f>
        <v>960</v>
      </c>
      <c r="J30" s="96">
        <f>[27]일반사항!$D$26</f>
        <v>25.6</v>
      </c>
    </row>
    <row r="31" spans="1:10" ht="20.100000000000001" customHeight="1">
      <c r="A31" s="25">
        <f>[86]일반사항!$B$4</f>
        <v>44436</v>
      </c>
      <c r="B31" s="105">
        <f>[86]일반사항!$E$26</f>
        <v>7.3699999999999992</v>
      </c>
      <c r="C31" s="106">
        <f>[86]실험기록부!$C$9</f>
        <v>204.74999999999997</v>
      </c>
      <c r="D31" s="105">
        <f>[86]실험기록부!$D$9</f>
        <v>51.244478181128002</v>
      </c>
      <c r="E31" s="107">
        <f>[86]실험기록부!$E$9</f>
        <v>216.66666666666666</v>
      </c>
      <c r="F31" s="19">
        <f>[86]실험기록부!$F$9</f>
        <v>41.584800000000001</v>
      </c>
      <c r="G31" s="19">
        <f>[86]실험기록부!$G$9</f>
        <v>3.7048800000000002</v>
      </c>
      <c r="H31" s="20">
        <f>[86]실험기록부!$H$9</f>
        <v>190000</v>
      </c>
      <c r="I31" s="27">
        <f>[87]커버3!$G$12</f>
        <v>936</v>
      </c>
      <c r="J31" s="96">
        <f>[28]일반사항!$D$26</f>
        <v>25.55</v>
      </c>
    </row>
    <row r="32" spans="1:10" ht="20.100000000000001" customHeight="1">
      <c r="A32" s="25">
        <f>[88]일반사항!$B$4</f>
        <v>44437</v>
      </c>
      <c r="B32" s="105">
        <f>[88]일반사항!$E$26</f>
        <v>7.4249999999999998</v>
      </c>
      <c r="C32" s="106">
        <f>[88]실험기록부!$C$9</f>
        <v>171.00000000000003</v>
      </c>
      <c r="D32" s="105">
        <f>[88]실험기록부!$D$9</f>
        <v>39.177889830976</v>
      </c>
      <c r="E32" s="107">
        <f>[88]실험기록부!$E$9</f>
        <v>156.66666666666677</v>
      </c>
      <c r="F32" s="19">
        <f>[88]실험기록부!$F$9</f>
        <v>37.488</v>
      </c>
      <c r="G32" s="19">
        <f>[88]실험기록부!$G$9</f>
        <v>4.0605599999999997</v>
      </c>
      <c r="H32" s="20">
        <f>[88]실험기록부!$H$9</f>
        <v>140000</v>
      </c>
      <c r="I32" s="27">
        <f>[89]커버3!$G$12</f>
        <v>927</v>
      </c>
      <c r="J32" s="96">
        <f>[29]일반사항!$D$26</f>
        <v>25.7</v>
      </c>
    </row>
    <row r="33" spans="1:10" ht="20.100000000000001" customHeight="1">
      <c r="A33" s="25">
        <f>[90]일반사항!$B$4</f>
        <v>44438</v>
      </c>
      <c r="B33" s="105">
        <f>[90]일반사항!$E$26</f>
        <v>7.2349999999999994</v>
      </c>
      <c r="C33" s="106">
        <f>[90]실험기록부!$C$9</f>
        <v>202.12499999999994</v>
      </c>
      <c r="D33" s="105">
        <f>[90]실험기록부!$D$9</f>
        <v>60.182945993216002</v>
      </c>
      <c r="E33" s="107">
        <f>[90]실험기록부!$E$9</f>
        <v>223.33333333333343</v>
      </c>
      <c r="F33" s="19">
        <f>[90]실험기록부!$F$9</f>
        <v>31.457999999999998</v>
      </c>
      <c r="G33" s="19">
        <f>[90]실험기록부!$G$9</f>
        <v>3.4017600000000003</v>
      </c>
      <c r="H33" s="20">
        <f>[90]실험기록부!$H$9</f>
        <v>240000</v>
      </c>
      <c r="I33" s="27">
        <f>[91]커버3!$G$12</f>
        <v>948</v>
      </c>
      <c r="J33" s="96">
        <f>[30]일반사항!$D$26</f>
        <v>26.05</v>
      </c>
    </row>
    <row r="34" spans="1:10" ht="20.100000000000001" customHeight="1" thickBot="1">
      <c r="A34" s="28">
        <f>[92]일반사항!$B$4</f>
        <v>44439</v>
      </c>
      <c r="B34" s="108">
        <f>[92]일반사항!$E$26</f>
        <v>7.3049999999999997</v>
      </c>
      <c r="C34" s="109">
        <f>[92]실험기록부!$C$9</f>
        <v>170.99999999999997</v>
      </c>
      <c r="D34" s="108">
        <f>[92]실험기록부!$D$9</f>
        <v>30.135959756727999</v>
      </c>
      <c r="E34" s="110">
        <f>[92]실험기록부!$E$9</f>
        <v>143.33333333333368</v>
      </c>
      <c r="F34" s="32">
        <f>[92]실험기록부!$F$9</f>
        <v>53.423999999999999</v>
      </c>
      <c r="G34" s="32">
        <f>[92]실험기록부!$G$9</f>
        <v>4.7985600000000002</v>
      </c>
      <c r="H34" s="33">
        <f>[92]실험기록부!$H$9</f>
        <v>140000</v>
      </c>
      <c r="I34" s="34">
        <f>[93]커버3!$G$12</f>
        <v>781</v>
      </c>
      <c r="J34" s="96">
        <f>[31]일반사항!$D$26</f>
        <v>25.95</v>
      </c>
    </row>
    <row r="35" spans="1:10" ht="20.100000000000001" customHeight="1" thickTop="1">
      <c r="A35" s="15" t="s">
        <v>0</v>
      </c>
      <c r="B35" s="111">
        <f t="shared" ref="B35:I35" si="0">MAX(B4:B34)</f>
        <v>7.54</v>
      </c>
      <c r="C35" s="111">
        <f t="shared" si="0"/>
        <v>233.25000000000003</v>
      </c>
      <c r="D35" s="111">
        <f t="shared" si="0"/>
        <v>91.591788783704004</v>
      </c>
      <c r="E35" s="111">
        <f t="shared" si="0"/>
        <v>3450.0000000000027</v>
      </c>
      <c r="F35" s="40">
        <f t="shared" si="0"/>
        <v>55.2408</v>
      </c>
      <c r="G35" s="40">
        <f t="shared" si="0"/>
        <v>8.1744000000000003</v>
      </c>
      <c r="H35" s="97">
        <f t="shared" si="0"/>
        <v>240000</v>
      </c>
      <c r="I35" s="35">
        <f t="shared" si="0"/>
        <v>994</v>
      </c>
    </row>
    <row r="36" spans="1:10" ht="20.100000000000001" customHeight="1">
      <c r="A36" s="1" t="s">
        <v>1</v>
      </c>
      <c r="B36" s="112">
        <f t="shared" ref="B36:I36" si="1">MIN(B5:B33)</f>
        <v>7.1950000000000003</v>
      </c>
      <c r="C36" s="112">
        <f t="shared" si="1"/>
        <v>161.62500000000003</v>
      </c>
      <c r="D36" s="112">
        <f t="shared" si="1"/>
        <v>30.027138325344001</v>
      </c>
      <c r="E36" s="112">
        <f t="shared" si="1"/>
        <v>140.00000000000009</v>
      </c>
      <c r="F36" s="41">
        <f t="shared" si="1"/>
        <v>18.432000000000002</v>
      </c>
      <c r="G36" s="41">
        <f t="shared" si="1"/>
        <v>1.8758399999999997</v>
      </c>
      <c r="H36" s="98">
        <f t="shared" si="1"/>
        <v>140000</v>
      </c>
      <c r="I36" s="85">
        <f t="shared" si="1"/>
        <v>533</v>
      </c>
    </row>
    <row r="37" spans="1:10" ht="20.100000000000001" customHeight="1" thickBot="1">
      <c r="A37" s="2" t="s">
        <v>2</v>
      </c>
      <c r="B37" s="113">
        <f t="shared" ref="B37:I37" si="2">AVERAGE(B4:B33)</f>
        <v>7.3771666666666667</v>
      </c>
      <c r="C37" s="113">
        <f t="shared" si="2"/>
        <v>194.22499999999999</v>
      </c>
      <c r="D37" s="113">
        <f t="shared" si="2"/>
        <v>59.727267762608804</v>
      </c>
      <c r="E37" s="113">
        <f t="shared" si="2"/>
        <v>296.66666666666691</v>
      </c>
      <c r="F37" s="42">
        <f t="shared" si="2"/>
        <v>38.536040000000007</v>
      </c>
      <c r="G37" s="42">
        <f t="shared" si="2"/>
        <v>3.8942639999999993</v>
      </c>
      <c r="H37" s="99">
        <f t="shared" si="2"/>
        <v>181333.33333333334</v>
      </c>
      <c r="I37" s="86">
        <f t="shared" si="2"/>
        <v>735.9666666666667</v>
      </c>
      <c r="J37" s="61">
        <f>I37*30</f>
        <v>22079</v>
      </c>
    </row>
  </sheetData>
  <mergeCells count="3">
    <mergeCell ref="A1:I1"/>
    <mergeCell ref="A2:A3"/>
    <mergeCell ref="B2:I2"/>
  </mergeCells>
  <phoneticPr fontId="1" type="noConversion"/>
  <printOptions horizontalCentered="1"/>
  <pageMargins left="0.39370078740157483" right="0.39370078740157483" top="0.59055118110236227" bottom="0.19685039370078741" header="0.31496062992125984" footer="0.31496062992125984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view="pageBreakPreview" zoomScaleSheetLayoutView="100" workbookViewId="0">
      <pane xSplit="1" ySplit="3" topLeftCell="B7" activePane="bottomRight" state="frozen"/>
      <selection activeCell="A34" sqref="A34:I34"/>
      <selection pane="topRight" activeCell="A34" sqref="A34:I34"/>
      <selection pane="bottomLeft" activeCell="A34" sqref="A34:I34"/>
      <selection pane="bottomRight" activeCell="D36" sqref="D36"/>
    </sheetView>
  </sheetViews>
  <sheetFormatPr defaultRowHeight="16.5"/>
  <cols>
    <col min="1" max="1" width="9.875" customWidth="1"/>
    <col min="2" max="2" width="9" style="3"/>
    <col min="3" max="3" width="9" style="43"/>
    <col min="4" max="5" width="9" style="5"/>
    <col min="6" max="6" width="9" style="6" customWidth="1"/>
    <col min="7" max="7" width="9" style="6"/>
    <col min="8" max="8" width="9" style="8" customWidth="1"/>
    <col min="9" max="9" width="9" style="7" customWidth="1"/>
    <col min="10" max="10" width="9.5" bestFit="1" customWidth="1"/>
    <col min="11" max="11" width="9.5" customWidth="1"/>
  </cols>
  <sheetData>
    <row r="1" spans="1:18" ht="24.95" customHeight="1" thickBot="1">
      <c r="A1" s="122" t="s">
        <v>25</v>
      </c>
      <c r="B1" s="122"/>
      <c r="C1" s="122"/>
      <c r="D1" s="122"/>
      <c r="E1" s="122"/>
      <c r="F1" s="122"/>
      <c r="G1" s="122"/>
      <c r="H1" s="122"/>
      <c r="I1" s="122"/>
    </row>
    <row r="2" spans="1:18" ht="20.100000000000001" customHeight="1">
      <c r="A2" s="117" t="s">
        <v>14</v>
      </c>
      <c r="B2" s="119" t="s">
        <v>13</v>
      </c>
      <c r="C2" s="120"/>
      <c r="D2" s="120"/>
      <c r="E2" s="120"/>
      <c r="F2" s="120"/>
      <c r="G2" s="120"/>
      <c r="H2" s="120"/>
      <c r="I2" s="121"/>
    </row>
    <row r="3" spans="1:18" ht="24.95" customHeight="1" thickBot="1">
      <c r="A3" s="118"/>
      <c r="B3" s="9" t="s">
        <v>3</v>
      </c>
      <c r="C3" s="44" t="s">
        <v>4</v>
      </c>
      <c r="D3" s="10" t="s">
        <v>23</v>
      </c>
      <c r="E3" s="10" t="s">
        <v>5</v>
      </c>
      <c r="F3" s="11" t="s">
        <v>6</v>
      </c>
      <c r="G3" s="11" t="s">
        <v>7</v>
      </c>
      <c r="H3" s="13" t="s">
        <v>8</v>
      </c>
      <c r="I3" s="12" t="s">
        <v>21</v>
      </c>
    </row>
    <row r="4" spans="1:18" ht="20.100000000000001" customHeight="1" thickTop="1">
      <c r="A4" s="21">
        <f>[32]일반사항!$B$4</f>
        <v>44409</v>
      </c>
      <c r="B4" s="57">
        <f>[32]일반사항!$E$27</f>
        <v>0</v>
      </c>
      <c r="C4" s="91">
        <f>[32]실험기록부!$C$10</f>
        <v>0</v>
      </c>
      <c r="D4" s="92">
        <f>[32]실험기록부!$D$10</f>
        <v>0</v>
      </c>
      <c r="E4" s="93">
        <f>[32]실험기록부!$E$10</f>
        <v>0</v>
      </c>
      <c r="F4" s="94">
        <f>[32]실험기록부!$F$10</f>
        <v>0</v>
      </c>
      <c r="G4" s="94">
        <f>[32]실험기록부!$G$10</f>
        <v>0</v>
      </c>
      <c r="H4" s="95">
        <f>[32]실험기록부!$H$10</f>
        <v>0</v>
      </c>
      <c r="I4" s="26"/>
      <c r="K4" s="62" t="str">
        <f>IF(B4&gt;0,B4,"")</f>
        <v/>
      </c>
      <c r="L4" s="63" t="str">
        <f t="shared" ref="L4:P4" si="0">IF(C4&gt;0,C4,"")</f>
        <v/>
      </c>
      <c r="M4" s="63" t="str">
        <f t="shared" si="0"/>
        <v/>
      </c>
      <c r="N4" s="63" t="str">
        <f t="shared" si="0"/>
        <v/>
      </c>
      <c r="O4" s="63" t="str">
        <f t="shared" si="0"/>
        <v/>
      </c>
      <c r="P4" s="63" t="str">
        <f t="shared" si="0"/>
        <v/>
      </c>
      <c r="Q4" s="64" t="str">
        <f>IF(H4&gt;0,H4,"")</f>
        <v/>
      </c>
      <c r="R4" s="65" t="str">
        <f>IF(I4&gt;0,I4,"")</f>
        <v/>
      </c>
    </row>
    <row r="5" spans="1:18" ht="20.100000000000001" customHeight="1">
      <c r="A5" s="25">
        <f>[34]일반사항!$B$4</f>
        <v>44410</v>
      </c>
      <c r="B5" s="58">
        <f>[34]일반사항!$E$27</f>
        <v>6.95</v>
      </c>
      <c r="C5" s="51">
        <f>[34]실험기록부!$C$10</f>
        <v>12.46</v>
      </c>
      <c r="D5" s="52">
        <f>[34]실험기록부!$D$10</f>
        <v>20.042887241132</v>
      </c>
      <c r="E5" s="53">
        <f>[34]실험기록부!$E$10</f>
        <v>18</v>
      </c>
      <c r="F5" s="48">
        <f>[34]실험기록부!$F$10</f>
        <v>6.4944000000000006</v>
      </c>
      <c r="G5" s="48">
        <f>[34]실험기록부!$G$10</f>
        <v>0.46051200000000003</v>
      </c>
      <c r="H5" s="47">
        <f>[34]실험기록부!$H$10</f>
        <v>470</v>
      </c>
      <c r="I5" s="27"/>
      <c r="K5" s="65">
        <f t="shared" ref="K5:K33" si="1">IF(B5&gt;0,B5,"")</f>
        <v>6.95</v>
      </c>
      <c r="L5" s="66">
        <f t="shared" ref="L5:L33" si="2">IF(C5&gt;0,C5,"")</f>
        <v>12.46</v>
      </c>
      <c r="M5" s="66">
        <f t="shared" ref="M5:M33" si="3">IF(D5&gt;0,D5,"")</f>
        <v>20.042887241132</v>
      </c>
      <c r="N5" s="66">
        <f t="shared" ref="N5:N33" si="4">IF(E5&gt;0,E5,"")</f>
        <v>18</v>
      </c>
      <c r="O5" s="66">
        <f t="shared" ref="O5:O33" si="5">IF(F5&gt;0,F5,"")</f>
        <v>6.4944000000000006</v>
      </c>
      <c r="P5" s="66">
        <f t="shared" ref="P5:P33" si="6">IF(G5&gt;0,G5,"")</f>
        <v>0.46051200000000003</v>
      </c>
      <c r="Q5" s="67">
        <f t="shared" ref="Q5:Q33" si="7">IF(H5&gt;0,H5,"")</f>
        <v>470</v>
      </c>
      <c r="R5" s="65" t="str">
        <f t="shared" ref="R5:R20" si="8">IF(I5&gt;0,I5,"")</f>
        <v/>
      </c>
    </row>
    <row r="6" spans="1:18" ht="20.100000000000001" customHeight="1">
      <c r="A6" s="25">
        <f>[36]일반사항!$B$4</f>
        <v>44411</v>
      </c>
      <c r="B6" s="58">
        <f>[36]일반사항!$E$27</f>
        <v>6.9350000000000005</v>
      </c>
      <c r="C6" s="51">
        <f>[36]실험기록부!$C$10</f>
        <v>16.740000000000002</v>
      </c>
      <c r="D6" s="52">
        <f>[36]실험기록부!$D$10</f>
        <v>19.200824304455999</v>
      </c>
      <c r="E6" s="53">
        <f>[36]실험기록부!$E$10</f>
        <v>9.1999999999999886</v>
      </c>
      <c r="F6" s="48">
        <f>[36]실험기록부!$F$10</f>
        <v>7.9785600000000017</v>
      </c>
      <c r="G6" s="48">
        <f>[36]실험기록부!$G$10</f>
        <v>0.52281599999999995</v>
      </c>
      <c r="H6" s="47">
        <f>[36]실험기록부!$H$10</f>
        <v>550</v>
      </c>
      <c r="I6" s="27"/>
      <c r="K6" s="65">
        <f t="shared" si="1"/>
        <v>6.9350000000000005</v>
      </c>
      <c r="L6" s="66">
        <f t="shared" si="2"/>
        <v>16.740000000000002</v>
      </c>
      <c r="M6" s="66">
        <f t="shared" si="3"/>
        <v>19.200824304455999</v>
      </c>
      <c r="N6" s="66">
        <f t="shared" si="4"/>
        <v>9.1999999999999886</v>
      </c>
      <c r="O6" s="66">
        <f t="shared" si="5"/>
        <v>7.9785600000000017</v>
      </c>
      <c r="P6" s="66">
        <f t="shared" si="6"/>
        <v>0.52281599999999995</v>
      </c>
      <c r="Q6" s="67">
        <f t="shared" si="7"/>
        <v>550</v>
      </c>
      <c r="R6" s="65" t="str">
        <f t="shared" si="8"/>
        <v/>
      </c>
    </row>
    <row r="7" spans="1:18" ht="20.100000000000001" customHeight="1">
      <c r="A7" s="25">
        <f>[38]일반사항!$B$4</f>
        <v>44412</v>
      </c>
      <c r="B7" s="58">
        <f>[38]일반사항!$E$27</f>
        <v>6.9649999999999999</v>
      </c>
      <c r="C7" s="51">
        <f>[38]실험기록부!$C$10</f>
        <v>15.569999999999999</v>
      </c>
      <c r="D7" s="52">
        <f>[38]실험기록부!$D$10</f>
        <v>14.745647206388</v>
      </c>
      <c r="E7" s="53">
        <f>[38]실험기록부!$E$10</f>
        <v>16.800000000000011</v>
      </c>
      <c r="F7" s="48">
        <f>[38]실험기록부!$F$10</f>
        <v>8.3932800000000007</v>
      </c>
      <c r="G7" s="48">
        <f>[38]실험기록부!$G$10</f>
        <v>0.48412799999999989</v>
      </c>
      <c r="H7" s="47">
        <f>[38]실험기록부!$H$10</f>
        <v>700</v>
      </c>
      <c r="I7" s="27"/>
      <c r="K7" s="65">
        <f t="shared" si="1"/>
        <v>6.9649999999999999</v>
      </c>
      <c r="L7" s="66">
        <f t="shared" si="2"/>
        <v>15.569999999999999</v>
      </c>
      <c r="M7" s="66">
        <f t="shared" si="3"/>
        <v>14.745647206388</v>
      </c>
      <c r="N7" s="66">
        <f t="shared" si="4"/>
        <v>16.800000000000011</v>
      </c>
      <c r="O7" s="66">
        <f t="shared" si="5"/>
        <v>8.3932800000000007</v>
      </c>
      <c r="P7" s="66">
        <f t="shared" si="6"/>
        <v>0.48412799999999989</v>
      </c>
      <c r="Q7" s="67">
        <f t="shared" si="7"/>
        <v>700</v>
      </c>
      <c r="R7" s="65" t="str">
        <f t="shared" si="8"/>
        <v/>
      </c>
    </row>
    <row r="8" spans="1:18" ht="20.100000000000001" customHeight="1">
      <c r="A8" s="25">
        <f>[40]일반사항!$B$4</f>
        <v>44413</v>
      </c>
      <c r="B8" s="58">
        <f>[40]일반사항!$E$27</f>
        <v>6.9350000000000005</v>
      </c>
      <c r="C8" s="51">
        <f>[40]실험기록부!$C$10</f>
        <v>15.329999999999998</v>
      </c>
      <c r="D8" s="52">
        <f>[40]실험기록부!$D$10</f>
        <v>4.2755190338820004</v>
      </c>
      <c r="E8" s="53">
        <f>[40]실험기록부!$E$10</f>
        <v>14</v>
      </c>
      <c r="F8" s="48">
        <f>[40]실험기록부!$F$10</f>
        <v>6.5255999999999998</v>
      </c>
      <c r="G8" s="48">
        <f>[40]실험기록부!$G$10</f>
        <v>0.38649600000000001</v>
      </c>
      <c r="H8" s="47">
        <f>[40]실험기록부!$H$10</f>
        <v>840</v>
      </c>
      <c r="I8" s="27"/>
      <c r="K8" s="65">
        <f t="shared" si="1"/>
        <v>6.9350000000000005</v>
      </c>
      <c r="L8" s="66">
        <f t="shared" si="2"/>
        <v>15.329999999999998</v>
      </c>
      <c r="M8" s="66">
        <f t="shared" si="3"/>
        <v>4.2755190338820004</v>
      </c>
      <c r="N8" s="66">
        <f t="shared" si="4"/>
        <v>14</v>
      </c>
      <c r="O8" s="66">
        <f t="shared" si="5"/>
        <v>6.5255999999999998</v>
      </c>
      <c r="P8" s="66">
        <f t="shared" si="6"/>
        <v>0.38649600000000001</v>
      </c>
      <c r="Q8" s="67">
        <f t="shared" si="7"/>
        <v>840</v>
      </c>
      <c r="R8" s="65" t="str">
        <f t="shared" si="8"/>
        <v/>
      </c>
    </row>
    <row r="9" spans="1:18" ht="20.100000000000001" customHeight="1">
      <c r="A9" s="25">
        <f>[42]일반사항!$B$4</f>
        <v>44414</v>
      </c>
      <c r="B9" s="58">
        <f>[42]일반사항!$E$27</f>
        <v>7.0549999999999997</v>
      </c>
      <c r="C9" s="51">
        <f>[42]실험기록부!$C$10</f>
        <v>11.120000000000001</v>
      </c>
      <c r="D9" s="52">
        <f>[42]실험기록부!$D$10</f>
        <v>14.081602918724</v>
      </c>
      <c r="E9" s="53">
        <f>[42]실험기록부!$E$10</f>
        <v>14.399999999999979</v>
      </c>
      <c r="F9" s="48">
        <f>[42]실험기록부!$F$10</f>
        <v>6.3643200000000002</v>
      </c>
      <c r="G9" s="48">
        <f>[42]실험기록부!$G$10</f>
        <v>0.49699199999999999</v>
      </c>
      <c r="H9" s="47">
        <f>[42]실험기록부!$H$10</f>
        <v>780</v>
      </c>
      <c r="I9" s="27"/>
      <c r="K9" s="65">
        <f t="shared" si="1"/>
        <v>7.0549999999999997</v>
      </c>
      <c r="L9" s="66">
        <f t="shared" si="2"/>
        <v>11.120000000000001</v>
      </c>
      <c r="M9" s="66">
        <f t="shared" si="3"/>
        <v>14.081602918724</v>
      </c>
      <c r="N9" s="66">
        <f t="shared" si="4"/>
        <v>14.399999999999979</v>
      </c>
      <c r="O9" s="66">
        <f t="shared" si="5"/>
        <v>6.3643200000000002</v>
      </c>
      <c r="P9" s="66">
        <f t="shared" si="6"/>
        <v>0.49699199999999999</v>
      </c>
      <c r="Q9" s="67">
        <f t="shared" si="7"/>
        <v>780</v>
      </c>
      <c r="R9" s="65" t="str">
        <f t="shared" si="8"/>
        <v/>
      </c>
    </row>
    <row r="10" spans="1:18" ht="20.100000000000001" customHeight="1">
      <c r="A10" s="25">
        <f>[44]일반사항!$B$4</f>
        <v>44415</v>
      </c>
      <c r="B10" s="58">
        <f>[44]일반사항!$E$27</f>
        <v>0</v>
      </c>
      <c r="C10" s="51">
        <f>[44]실험기록부!$C$10</f>
        <v>0</v>
      </c>
      <c r="D10" s="52">
        <f>[44]실험기록부!$D$10</f>
        <v>0</v>
      </c>
      <c r="E10" s="53">
        <f>[44]실험기록부!$E$10</f>
        <v>0</v>
      </c>
      <c r="F10" s="48">
        <f>[44]실험기록부!$F$10</f>
        <v>0</v>
      </c>
      <c r="G10" s="48">
        <f>[44]실험기록부!$G$10</f>
        <v>0</v>
      </c>
      <c r="H10" s="47">
        <f>[44]실험기록부!$H$10</f>
        <v>0</v>
      </c>
      <c r="I10" s="27"/>
      <c r="K10" s="65" t="str">
        <f t="shared" si="1"/>
        <v/>
      </c>
      <c r="L10" s="66" t="str">
        <f t="shared" si="2"/>
        <v/>
      </c>
      <c r="M10" s="66" t="str">
        <f t="shared" si="3"/>
        <v/>
      </c>
      <c r="N10" s="66" t="str">
        <f t="shared" si="4"/>
        <v/>
      </c>
      <c r="O10" s="66" t="str">
        <f t="shared" si="5"/>
        <v/>
      </c>
      <c r="P10" s="66" t="str">
        <f t="shared" si="6"/>
        <v/>
      </c>
      <c r="Q10" s="67" t="str">
        <f t="shared" si="7"/>
        <v/>
      </c>
      <c r="R10" s="65" t="str">
        <f t="shared" si="8"/>
        <v/>
      </c>
    </row>
    <row r="11" spans="1:18" ht="20.100000000000001" customHeight="1">
      <c r="A11" s="25">
        <f>[46]일반사항!$B$4</f>
        <v>44416</v>
      </c>
      <c r="B11" s="58">
        <f>[46]일반사항!$E$27</f>
        <v>0</v>
      </c>
      <c r="C11" s="51">
        <f>[46]실험기록부!$C$10</f>
        <v>0</v>
      </c>
      <c r="D11" s="52">
        <f>[46]실험기록부!$D$10</f>
        <v>0</v>
      </c>
      <c r="E11" s="53">
        <f>[46]실험기록부!$E$10</f>
        <v>0</v>
      </c>
      <c r="F11" s="48">
        <f>[46]실험기록부!$F$10</f>
        <v>0</v>
      </c>
      <c r="G11" s="48">
        <f>[46]실험기록부!$G$10</f>
        <v>0</v>
      </c>
      <c r="H11" s="47">
        <f>[46]실험기록부!$H$10</f>
        <v>0</v>
      </c>
      <c r="I11" s="27"/>
      <c r="K11" s="65" t="str">
        <f t="shared" si="1"/>
        <v/>
      </c>
      <c r="L11" s="66" t="str">
        <f t="shared" si="2"/>
        <v/>
      </c>
      <c r="M11" s="66" t="str">
        <f t="shared" si="3"/>
        <v/>
      </c>
      <c r="N11" s="66" t="str">
        <f t="shared" si="4"/>
        <v/>
      </c>
      <c r="O11" s="66" t="str">
        <f t="shared" si="5"/>
        <v/>
      </c>
      <c r="P11" s="66" t="str">
        <f t="shared" si="6"/>
        <v/>
      </c>
      <c r="Q11" s="67" t="str">
        <f t="shared" si="7"/>
        <v/>
      </c>
      <c r="R11" s="65" t="str">
        <f t="shared" si="8"/>
        <v/>
      </c>
    </row>
    <row r="12" spans="1:18" ht="20.100000000000001" customHeight="1">
      <c r="A12" s="25">
        <f>[48]일반사항!$B$4</f>
        <v>44417</v>
      </c>
      <c r="B12" s="58">
        <f>[48]일반사항!$E$27</f>
        <v>6.8949999999999996</v>
      </c>
      <c r="C12" s="51">
        <f>[48]실험기록부!$C$10</f>
        <v>15.51</v>
      </c>
      <c r="D12" s="52">
        <f>[48]실험기록부!$D$10</f>
        <v>11.586325932744</v>
      </c>
      <c r="E12" s="53">
        <f>[48]실험기록부!$E$10</f>
        <v>14.399999999999979</v>
      </c>
      <c r="F12" s="48">
        <f>[48]실험기록부!$F$10</f>
        <v>6.2798399999999992</v>
      </c>
      <c r="G12" s="48">
        <f>[48]실험기록부!$G$10</f>
        <v>0.26337599999999994</v>
      </c>
      <c r="H12" s="47">
        <f>[48]실험기록부!$H$10</f>
        <v>540</v>
      </c>
      <c r="I12" s="27"/>
      <c r="K12" s="65">
        <f t="shared" si="1"/>
        <v>6.8949999999999996</v>
      </c>
      <c r="L12" s="66">
        <f t="shared" si="2"/>
        <v>15.51</v>
      </c>
      <c r="M12" s="66">
        <f t="shared" si="3"/>
        <v>11.586325932744</v>
      </c>
      <c r="N12" s="66">
        <f t="shared" si="4"/>
        <v>14.399999999999979</v>
      </c>
      <c r="O12" s="66">
        <f t="shared" si="5"/>
        <v>6.2798399999999992</v>
      </c>
      <c r="P12" s="66">
        <f t="shared" si="6"/>
        <v>0.26337599999999994</v>
      </c>
      <c r="Q12" s="67">
        <f t="shared" si="7"/>
        <v>540</v>
      </c>
      <c r="R12" s="65" t="str">
        <f t="shared" si="8"/>
        <v/>
      </c>
    </row>
    <row r="13" spans="1:18" ht="20.100000000000001" customHeight="1">
      <c r="A13" s="25">
        <f>[50]일반사항!$B$4</f>
        <v>44418</v>
      </c>
      <c r="B13" s="58">
        <f>[50]일반사항!$E$27</f>
        <v>6.8949999999999996</v>
      </c>
      <c r="C13" s="51">
        <f>[50]실험기록부!$C$10</f>
        <v>17.22</v>
      </c>
      <c r="D13" s="52">
        <f>[50]실험기록부!$D$10</f>
        <v>3.9842230551340001</v>
      </c>
      <c r="E13" s="53">
        <f>[50]실험기록부!$E$10</f>
        <v>14.400000000000034</v>
      </c>
      <c r="F13" s="48">
        <f>[50]실험기록부!$F$10</f>
        <v>6.3974400000000005</v>
      </c>
      <c r="G13" s="48">
        <f>[50]실험기록부!$G$10</f>
        <v>0.320496</v>
      </c>
      <c r="H13" s="47">
        <f>[50]실험기록부!$H$10</f>
        <v>720</v>
      </c>
      <c r="I13" s="27"/>
      <c r="K13" s="65">
        <f t="shared" si="1"/>
        <v>6.8949999999999996</v>
      </c>
      <c r="L13" s="66">
        <f t="shared" si="2"/>
        <v>17.22</v>
      </c>
      <c r="M13" s="66">
        <f t="shared" si="3"/>
        <v>3.9842230551340001</v>
      </c>
      <c r="N13" s="66">
        <f t="shared" si="4"/>
        <v>14.400000000000034</v>
      </c>
      <c r="O13" s="66">
        <f t="shared" si="5"/>
        <v>6.3974400000000005</v>
      </c>
      <c r="P13" s="66">
        <f t="shared" si="6"/>
        <v>0.320496</v>
      </c>
      <c r="Q13" s="67">
        <f t="shared" si="7"/>
        <v>720</v>
      </c>
      <c r="R13" s="65" t="str">
        <f t="shared" si="8"/>
        <v/>
      </c>
    </row>
    <row r="14" spans="1:18" ht="20.100000000000001" customHeight="1">
      <c r="A14" s="25">
        <f>[52]일반사항!$B$4</f>
        <v>44419</v>
      </c>
      <c r="B14" s="58">
        <f>[52]일반사항!$E$27</f>
        <v>6.9</v>
      </c>
      <c r="C14" s="51">
        <f>[52]실험기록부!$C$10</f>
        <v>17.370000000000005</v>
      </c>
      <c r="D14" s="52">
        <f>[52]실험기록부!$D$10</f>
        <v>13.803481034076</v>
      </c>
      <c r="E14" s="53">
        <f>[52]실험기록부!$E$10</f>
        <v>14.399999999999979</v>
      </c>
      <c r="F14" s="48">
        <f>[52]실험기록부!$F$10</f>
        <v>7.4932800000000013</v>
      </c>
      <c r="G14" s="48">
        <f>[52]실험기록부!$G$10</f>
        <v>0.24115200000000001</v>
      </c>
      <c r="H14" s="47">
        <f>[52]실험기록부!$H$10</f>
        <v>520</v>
      </c>
      <c r="I14" s="27"/>
      <c r="K14" s="65">
        <f t="shared" si="1"/>
        <v>6.9</v>
      </c>
      <c r="L14" s="66">
        <f t="shared" si="2"/>
        <v>17.370000000000005</v>
      </c>
      <c r="M14" s="66">
        <f t="shared" si="3"/>
        <v>13.803481034076</v>
      </c>
      <c r="N14" s="66">
        <f t="shared" si="4"/>
        <v>14.399999999999979</v>
      </c>
      <c r="O14" s="66">
        <f t="shared" si="5"/>
        <v>7.4932800000000013</v>
      </c>
      <c r="P14" s="66">
        <f t="shared" si="6"/>
        <v>0.24115200000000001</v>
      </c>
      <c r="Q14" s="67">
        <f t="shared" si="7"/>
        <v>520</v>
      </c>
      <c r="R14" s="65" t="str">
        <f t="shared" si="8"/>
        <v/>
      </c>
    </row>
    <row r="15" spans="1:18" ht="20.100000000000001" customHeight="1">
      <c r="A15" s="25">
        <f>[54]일반사항!$B$4</f>
        <v>44420</v>
      </c>
      <c r="B15" s="58">
        <f>[54]일반사항!$E$27</f>
        <v>6.9050000000000002</v>
      </c>
      <c r="C15" s="51">
        <f>[54]실험기록부!$C$10</f>
        <v>14.430000000000001</v>
      </c>
      <c r="D15" s="52">
        <f>[54]실험기록부!$D$10</f>
        <v>12.199909019432001</v>
      </c>
      <c r="E15" s="53">
        <f>[54]실험기록부!$E$10</f>
        <v>12</v>
      </c>
      <c r="F15" s="48">
        <f>[54]실험기록부!$F$10</f>
        <v>7.1020799999999991</v>
      </c>
      <c r="G15" s="48">
        <f>[54]실험기록부!$G$10</f>
        <v>0.28843200000000002</v>
      </c>
      <c r="H15" s="47">
        <f>[54]실험기록부!$H$10</f>
        <v>670</v>
      </c>
      <c r="I15" s="27"/>
      <c r="K15" s="65">
        <f t="shared" si="1"/>
        <v>6.9050000000000002</v>
      </c>
      <c r="L15" s="66">
        <f t="shared" si="2"/>
        <v>14.430000000000001</v>
      </c>
      <c r="M15" s="66">
        <f t="shared" si="3"/>
        <v>12.199909019432001</v>
      </c>
      <c r="N15" s="66">
        <f t="shared" si="4"/>
        <v>12</v>
      </c>
      <c r="O15" s="66">
        <f t="shared" si="5"/>
        <v>7.1020799999999991</v>
      </c>
      <c r="P15" s="66">
        <f t="shared" si="6"/>
        <v>0.28843200000000002</v>
      </c>
      <c r="Q15" s="67">
        <f t="shared" si="7"/>
        <v>670</v>
      </c>
      <c r="R15" s="65" t="str">
        <f t="shared" si="8"/>
        <v/>
      </c>
    </row>
    <row r="16" spans="1:18" ht="20.100000000000001" customHeight="1">
      <c r="A16" s="25">
        <f>[56]일반사항!$B$4</f>
        <v>44421</v>
      </c>
      <c r="B16" s="58">
        <f>[56]일반사항!$E$27</f>
        <v>6.9450000000000003</v>
      </c>
      <c r="C16" s="51">
        <f>[56]실험기록부!$C$10</f>
        <v>12.54</v>
      </c>
      <c r="D16" s="52">
        <f>[56]실험기록부!$D$10</f>
        <v>12.062307046594</v>
      </c>
      <c r="E16" s="53">
        <f>[56]실험기록부!$E$10</f>
        <v>12.399999999999979</v>
      </c>
      <c r="F16" s="48">
        <f>[56]실험기록부!$F$10</f>
        <v>6.8875199999999994</v>
      </c>
      <c r="G16" s="48">
        <f>[56]실험기록부!$G$10</f>
        <v>0.23952000000000001</v>
      </c>
      <c r="H16" s="47">
        <f>[56]실험기록부!$H$10</f>
        <v>890</v>
      </c>
      <c r="I16" s="27"/>
      <c r="K16" s="65">
        <f t="shared" si="1"/>
        <v>6.9450000000000003</v>
      </c>
      <c r="L16" s="66">
        <f t="shared" si="2"/>
        <v>12.54</v>
      </c>
      <c r="M16" s="66">
        <f t="shared" si="3"/>
        <v>12.062307046594</v>
      </c>
      <c r="N16" s="66">
        <f t="shared" si="4"/>
        <v>12.399999999999979</v>
      </c>
      <c r="O16" s="66">
        <f t="shared" si="5"/>
        <v>6.8875199999999994</v>
      </c>
      <c r="P16" s="66">
        <f t="shared" si="6"/>
        <v>0.23952000000000001</v>
      </c>
      <c r="Q16" s="67">
        <f t="shared" si="7"/>
        <v>890</v>
      </c>
      <c r="R16" s="65" t="str">
        <f t="shared" si="8"/>
        <v/>
      </c>
    </row>
    <row r="17" spans="1:18" ht="20.100000000000001" customHeight="1">
      <c r="A17" s="25">
        <f>[58]일반사항!$B$4</f>
        <v>44422</v>
      </c>
      <c r="B17" s="58">
        <f>[58]일반사항!$E$27</f>
        <v>0</v>
      </c>
      <c r="C17" s="51">
        <f>[58]실험기록부!$C$10</f>
        <v>0</v>
      </c>
      <c r="D17" s="52">
        <f>[58]실험기록부!$D$10</f>
        <v>0</v>
      </c>
      <c r="E17" s="53">
        <f>[58]실험기록부!$E$10</f>
        <v>0</v>
      </c>
      <c r="F17" s="48">
        <f>[58]실험기록부!$F$10</f>
        <v>0</v>
      </c>
      <c r="G17" s="48">
        <f>[58]실험기록부!$G$10</f>
        <v>0</v>
      </c>
      <c r="H17" s="47">
        <f>[58]실험기록부!$H$10</f>
        <v>0</v>
      </c>
      <c r="I17" s="27"/>
      <c r="K17" s="65" t="str">
        <f t="shared" si="1"/>
        <v/>
      </c>
      <c r="L17" s="66" t="str">
        <f t="shared" si="2"/>
        <v/>
      </c>
      <c r="M17" s="66" t="str">
        <f t="shared" si="3"/>
        <v/>
      </c>
      <c r="N17" s="66" t="str">
        <f t="shared" si="4"/>
        <v/>
      </c>
      <c r="O17" s="66" t="str">
        <f t="shared" si="5"/>
        <v/>
      </c>
      <c r="P17" s="66" t="str">
        <f t="shared" si="6"/>
        <v/>
      </c>
      <c r="Q17" s="67" t="str">
        <f t="shared" si="7"/>
        <v/>
      </c>
      <c r="R17" s="65" t="str">
        <f t="shared" si="8"/>
        <v/>
      </c>
    </row>
    <row r="18" spans="1:18" ht="20.100000000000001" customHeight="1">
      <c r="A18" s="25">
        <f>[60]일반사항!$B$4</f>
        <v>44423</v>
      </c>
      <c r="B18" s="58">
        <f>[60]일반사항!$E$27</f>
        <v>0</v>
      </c>
      <c r="C18" s="51">
        <f>[60]실험기록부!$C$10</f>
        <v>0</v>
      </c>
      <c r="D18" s="52">
        <f>[60]실험기록부!$D$10</f>
        <v>0</v>
      </c>
      <c r="E18" s="53">
        <f>[60]실험기록부!$E$10</f>
        <v>0</v>
      </c>
      <c r="F18" s="48">
        <f>[60]실험기록부!$F$10</f>
        <v>0</v>
      </c>
      <c r="G18" s="48">
        <f>[60]실험기록부!$G$10</f>
        <v>0</v>
      </c>
      <c r="H18" s="47">
        <f>[60]실험기록부!$H$10</f>
        <v>0</v>
      </c>
      <c r="I18" s="27"/>
      <c r="K18" s="65" t="str">
        <f t="shared" si="1"/>
        <v/>
      </c>
      <c r="L18" s="66" t="str">
        <f t="shared" si="2"/>
        <v/>
      </c>
      <c r="M18" s="66" t="str">
        <f t="shared" si="3"/>
        <v/>
      </c>
      <c r="N18" s="66" t="str">
        <f t="shared" si="4"/>
        <v/>
      </c>
      <c r="O18" s="66" t="str">
        <f t="shared" si="5"/>
        <v/>
      </c>
      <c r="P18" s="66" t="str">
        <f t="shared" si="6"/>
        <v/>
      </c>
      <c r="Q18" s="67" t="str">
        <f t="shared" si="7"/>
        <v/>
      </c>
      <c r="R18" s="65" t="str">
        <f t="shared" si="8"/>
        <v/>
      </c>
    </row>
    <row r="19" spans="1:18" ht="20.100000000000001" customHeight="1">
      <c r="A19" s="25">
        <f>[62]일반사항!$B$4</f>
        <v>44424</v>
      </c>
      <c r="B19" s="58">
        <f>[62]일반사항!$E$27</f>
        <v>0</v>
      </c>
      <c r="C19" s="51">
        <f>[62]실험기록부!$C$10</f>
        <v>0</v>
      </c>
      <c r="D19" s="52">
        <f>[62]실험기록부!$D$10</f>
        <v>0</v>
      </c>
      <c r="E19" s="53">
        <f>[62]실험기록부!$E$10</f>
        <v>0</v>
      </c>
      <c r="F19" s="48">
        <f>[62]실험기록부!$F$10</f>
        <v>0</v>
      </c>
      <c r="G19" s="48">
        <f>[62]실험기록부!$G$10</f>
        <v>0</v>
      </c>
      <c r="H19" s="47">
        <f>[62]실험기록부!$H$10</f>
        <v>0</v>
      </c>
      <c r="I19" s="27"/>
      <c r="K19" s="65" t="str">
        <f t="shared" si="1"/>
        <v/>
      </c>
      <c r="L19" s="66" t="str">
        <f t="shared" si="2"/>
        <v/>
      </c>
      <c r="M19" s="66" t="str">
        <f t="shared" si="3"/>
        <v/>
      </c>
      <c r="N19" s="66" t="str">
        <f t="shared" si="4"/>
        <v/>
      </c>
      <c r="O19" s="66" t="str">
        <f t="shared" si="5"/>
        <v/>
      </c>
      <c r="P19" s="66" t="str">
        <f t="shared" si="6"/>
        <v/>
      </c>
      <c r="Q19" s="67" t="str">
        <f t="shared" si="7"/>
        <v/>
      </c>
      <c r="R19" s="65" t="str">
        <f t="shared" si="8"/>
        <v/>
      </c>
    </row>
    <row r="20" spans="1:18" ht="20.100000000000001" customHeight="1">
      <c r="A20" s="25">
        <f>[64]일반사항!$B$4</f>
        <v>44425</v>
      </c>
      <c r="B20" s="58">
        <f>[64]일반사항!$E$27</f>
        <v>6.93</v>
      </c>
      <c r="C20" s="51">
        <f>[64]실험기록부!$C$10</f>
        <v>15.690000000000001</v>
      </c>
      <c r="D20" s="52">
        <f>[64]실험기록부!$D$10</f>
        <v>9.1855222711979998</v>
      </c>
      <c r="E20" s="53">
        <f>[64]실험기록부!$E$10</f>
        <v>15.199999999999989</v>
      </c>
      <c r="F20" s="48">
        <f>[64]실험기록부!$F$10</f>
        <v>7.4155200000000008</v>
      </c>
      <c r="G20" s="48">
        <f>[64]실험기록부!$G$10</f>
        <v>0.31560000000000005</v>
      </c>
      <c r="H20" s="47">
        <f>[64]실험기록부!$H$10</f>
        <v>740</v>
      </c>
      <c r="I20" s="27"/>
      <c r="K20" s="65">
        <f t="shared" si="1"/>
        <v>6.93</v>
      </c>
      <c r="L20" s="66">
        <f t="shared" si="2"/>
        <v>15.690000000000001</v>
      </c>
      <c r="M20" s="66">
        <f t="shared" si="3"/>
        <v>9.1855222711979998</v>
      </c>
      <c r="N20" s="66">
        <f t="shared" si="4"/>
        <v>15.199999999999989</v>
      </c>
      <c r="O20" s="66">
        <f t="shared" si="5"/>
        <v>7.4155200000000008</v>
      </c>
      <c r="P20" s="66">
        <f t="shared" si="6"/>
        <v>0.31560000000000005</v>
      </c>
      <c r="Q20" s="67">
        <f t="shared" si="7"/>
        <v>740</v>
      </c>
      <c r="R20" s="65" t="str">
        <f t="shared" si="8"/>
        <v/>
      </c>
    </row>
    <row r="21" spans="1:18" ht="20.100000000000001" customHeight="1">
      <c r="A21" s="25">
        <f>[66]일반사항!$B$4</f>
        <v>44426</v>
      </c>
      <c r="B21" s="58">
        <f>[66]일반사항!$E$27</f>
        <v>6.92</v>
      </c>
      <c r="C21" s="51">
        <f>[66]실험기록부!$C$10</f>
        <v>13.170000000000002</v>
      </c>
      <c r="D21" s="52">
        <f>[66]실험기록부!$D$10</f>
        <v>4.4379310306460003</v>
      </c>
      <c r="E21" s="53">
        <f>[66]실험기록부!$E$10</f>
        <v>17.600000000000023</v>
      </c>
      <c r="F21" s="48">
        <f>[66]실험기록부!$F$10</f>
        <v>6.9974400000000001</v>
      </c>
      <c r="G21" s="48">
        <f>[66]실험기록부!$G$10</f>
        <v>0.40008000000000005</v>
      </c>
      <c r="H21" s="47">
        <f>[66]실험기록부!$H$10</f>
        <v>470</v>
      </c>
      <c r="I21" s="27"/>
      <c r="K21" s="65">
        <f t="shared" si="1"/>
        <v>6.92</v>
      </c>
      <c r="L21" s="66">
        <f t="shared" si="2"/>
        <v>13.170000000000002</v>
      </c>
      <c r="M21" s="66">
        <f t="shared" si="3"/>
        <v>4.4379310306460003</v>
      </c>
      <c r="N21" s="66">
        <f t="shared" si="4"/>
        <v>17.600000000000023</v>
      </c>
      <c r="O21" s="66">
        <f t="shared" si="5"/>
        <v>6.9974400000000001</v>
      </c>
      <c r="P21" s="66">
        <f t="shared" si="6"/>
        <v>0.40008000000000005</v>
      </c>
      <c r="Q21" s="67">
        <f t="shared" si="7"/>
        <v>470</v>
      </c>
      <c r="R21" s="65"/>
    </row>
    <row r="22" spans="1:18" ht="20.100000000000001" customHeight="1">
      <c r="A22" s="25">
        <f>[68]일반사항!$B$4</f>
        <v>44427</v>
      </c>
      <c r="B22" s="58">
        <f>[68]일반사항!$E$27</f>
        <v>6.9249999999999998</v>
      </c>
      <c r="C22" s="51">
        <f>[68]실험기록부!$C$10</f>
        <v>15.900000000000002</v>
      </c>
      <c r="D22" s="52">
        <f>[68]실험기록부!$D$10</f>
        <v>9.7451740434960001</v>
      </c>
      <c r="E22" s="53">
        <f>[68]실험기록부!$E$10</f>
        <v>14.800000000000011</v>
      </c>
      <c r="F22" s="48">
        <f>[68]실험기록부!$F$10</f>
        <v>10.98288</v>
      </c>
      <c r="G22" s="48">
        <f>[68]실험기록부!$G$10</f>
        <v>0.19463999999999995</v>
      </c>
      <c r="H22" s="47">
        <f>[68]실험기록부!$H$10</f>
        <v>740</v>
      </c>
      <c r="I22" s="27"/>
      <c r="K22" s="65">
        <f t="shared" si="1"/>
        <v>6.9249999999999998</v>
      </c>
      <c r="L22" s="66">
        <f t="shared" si="2"/>
        <v>15.900000000000002</v>
      </c>
      <c r="M22" s="66">
        <f t="shared" si="3"/>
        <v>9.7451740434960001</v>
      </c>
      <c r="N22" s="66">
        <f t="shared" si="4"/>
        <v>14.800000000000011</v>
      </c>
      <c r="O22" s="66">
        <f t="shared" si="5"/>
        <v>10.98288</v>
      </c>
      <c r="P22" s="66">
        <f t="shared" si="6"/>
        <v>0.19463999999999995</v>
      </c>
      <c r="Q22" s="67">
        <f t="shared" si="7"/>
        <v>740</v>
      </c>
      <c r="R22" s="65"/>
    </row>
    <row r="23" spans="1:18" ht="20.100000000000001" customHeight="1">
      <c r="A23" s="25">
        <f>[70]일반사항!$B$4</f>
        <v>44428</v>
      </c>
      <c r="B23" s="58">
        <f>[70]일반사항!$E$27</f>
        <v>6.92</v>
      </c>
      <c r="C23" s="51">
        <f>[70]실험기록부!$C$10</f>
        <v>10.440000000000001</v>
      </c>
      <c r="D23" s="52">
        <f>[70]실험기록부!$D$10</f>
        <v>10.493450884032001</v>
      </c>
      <c r="E23" s="53">
        <f>[70]실험기록부!$E$10</f>
        <v>14</v>
      </c>
      <c r="F23" s="48">
        <f>[70]실험기록부!$F$10</f>
        <v>6.0974400000000006</v>
      </c>
      <c r="G23" s="48">
        <f>[70]실험기록부!$G$10</f>
        <v>0.23198399999999997</v>
      </c>
      <c r="H23" s="47">
        <f>[70]실험기록부!$H$10</f>
        <v>690</v>
      </c>
      <c r="I23" s="27"/>
      <c r="K23" s="65">
        <f t="shared" si="1"/>
        <v>6.92</v>
      </c>
      <c r="L23" s="66">
        <f t="shared" si="2"/>
        <v>10.440000000000001</v>
      </c>
      <c r="M23" s="66">
        <f t="shared" si="3"/>
        <v>10.493450884032001</v>
      </c>
      <c r="N23" s="66">
        <f t="shared" si="4"/>
        <v>14</v>
      </c>
      <c r="O23" s="66">
        <f t="shared" si="5"/>
        <v>6.0974400000000006</v>
      </c>
      <c r="P23" s="66">
        <f t="shared" si="6"/>
        <v>0.23198399999999997</v>
      </c>
      <c r="Q23" s="67">
        <f t="shared" si="7"/>
        <v>690</v>
      </c>
      <c r="R23" s="65"/>
    </row>
    <row r="24" spans="1:18" ht="20.100000000000001" customHeight="1">
      <c r="A24" s="25">
        <f>[72]일반사항!$B$4</f>
        <v>44429</v>
      </c>
      <c r="B24" s="58">
        <f>[72]일반사항!$E$27</f>
        <v>0</v>
      </c>
      <c r="C24" s="51">
        <f>[72]실험기록부!$C$10</f>
        <v>0</v>
      </c>
      <c r="D24" s="52">
        <f>[72]실험기록부!$D$10</f>
        <v>0</v>
      </c>
      <c r="E24" s="53">
        <f>[72]실험기록부!$E$10</f>
        <v>0</v>
      </c>
      <c r="F24" s="48">
        <f>[72]실험기록부!$F$10</f>
        <v>0</v>
      </c>
      <c r="G24" s="48">
        <f>[72]실험기록부!$G$10</f>
        <v>0</v>
      </c>
      <c r="H24" s="47">
        <f>[72]실험기록부!$H$10</f>
        <v>0</v>
      </c>
      <c r="I24" s="27"/>
      <c r="K24" s="65" t="str">
        <f t="shared" si="1"/>
        <v/>
      </c>
      <c r="L24" s="66" t="str">
        <f t="shared" si="2"/>
        <v/>
      </c>
      <c r="M24" s="66" t="str">
        <f t="shared" si="3"/>
        <v/>
      </c>
      <c r="N24" s="66" t="str">
        <f t="shared" si="4"/>
        <v/>
      </c>
      <c r="O24" s="66" t="str">
        <f t="shared" si="5"/>
        <v/>
      </c>
      <c r="P24" s="66" t="str">
        <f t="shared" si="6"/>
        <v/>
      </c>
      <c r="Q24" s="67" t="str">
        <f t="shared" si="7"/>
        <v/>
      </c>
      <c r="R24" s="65"/>
    </row>
    <row r="25" spans="1:18" ht="20.100000000000001" customHeight="1">
      <c r="A25" s="25">
        <f>[74]일반사항!$B$4</f>
        <v>44430</v>
      </c>
      <c r="B25" s="58">
        <f>[74]일반사항!$E$27</f>
        <v>0</v>
      </c>
      <c r="C25" s="51">
        <f>[74]실험기록부!$C$10</f>
        <v>0</v>
      </c>
      <c r="D25" s="52">
        <f>[74]실험기록부!$D$10</f>
        <v>0</v>
      </c>
      <c r="E25" s="53">
        <f>[74]실험기록부!$E$10</f>
        <v>0</v>
      </c>
      <c r="F25" s="48">
        <f>[74]실험기록부!$F$10</f>
        <v>0</v>
      </c>
      <c r="G25" s="48">
        <f>[74]실험기록부!$G$10</f>
        <v>0</v>
      </c>
      <c r="H25" s="47">
        <f>[74]실험기록부!$H$10</f>
        <v>0</v>
      </c>
      <c r="I25" s="27"/>
      <c r="K25" s="65" t="str">
        <f t="shared" si="1"/>
        <v/>
      </c>
      <c r="L25" s="66" t="str">
        <f t="shared" si="2"/>
        <v/>
      </c>
      <c r="M25" s="66" t="str">
        <f t="shared" si="3"/>
        <v/>
      </c>
      <c r="N25" s="66" t="str">
        <f t="shared" si="4"/>
        <v/>
      </c>
      <c r="O25" s="66" t="str">
        <f t="shared" si="5"/>
        <v/>
      </c>
      <c r="P25" s="66" t="str">
        <f t="shared" si="6"/>
        <v/>
      </c>
      <c r="Q25" s="67" t="str">
        <f t="shared" si="7"/>
        <v/>
      </c>
      <c r="R25" s="65"/>
    </row>
    <row r="26" spans="1:18" ht="20.100000000000001" customHeight="1">
      <c r="A26" s="25">
        <f>[76]일반사항!$B$4</f>
        <v>44431</v>
      </c>
      <c r="B26" s="58">
        <f>[76]일반사항!$E$27</f>
        <v>6.9050000000000002</v>
      </c>
      <c r="C26" s="51">
        <f>[76]실험기록부!$C$10</f>
        <v>14.160000000000002</v>
      </c>
      <c r="D26" s="52">
        <f>[76]실험기록부!$D$10</f>
        <v>12.223059698151999</v>
      </c>
      <c r="E26" s="53">
        <f>[76]실험기록부!$E$10</f>
        <v>16.800000000000011</v>
      </c>
      <c r="F26" s="48">
        <f>[76]실험기록부!$F$10</f>
        <v>7.7443199999999992</v>
      </c>
      <c r="G26" s="48">
        <f>[76]실험기록부!$G$10</f>
        <v>0.25324799999999997</v>
      </c>
      <c r="H26" s="47">
        <f>[76]실험기록부!$H$10</f>
        <v>490</v>
      </c>
      <c r="I26" s="27"/>
      <c r="K26" s="65">
        <f t="shared" si="1"/>
        <v>6.9050000000000002</v>
      </c>
      <c r="L26" s="66">
        <f t="shared" si="2"/>
        <v>14.160000000000002</v>
      </c>
      <c r="M26" s="66">
        <f t="shared" si="3"/>
        <v>12.223059698151999</v>
      </c>
      <c r="N26" s="66">
        <f t="shared" si="4"/>
        <v>16.800000000000011</v>
      </c>
      <c r="O26" s="66">
        <f t="shared" si="5"/>
        <v>7.7443199999999992</v>
      </c>
      <c r="P26" s="66">
        <f t="shared" si="6"/>
        <v>0.25324799999999997</v>
      </c>
      <c r="Q26" s="67">
        <f t="shared" si="7"/>
        <v>490</v>
      </c>
      <c r="R26" s="65"/>
    </row>
    <row r="27" spans="1:18" ht="20.100000000000001" customHeight="1">
      <c r="A27" s="25">
        <f>[78]일반사항!$B$4</f>
        <v>44432</v>
      </c>
      <c r="B27" s="58">
        <f>[78]일반사항!$E$27</f>
        <v>6.9249999999999998</v>
      </c>
      <c r="C27" s="51">
        <f>[78]실험기록부!$C$10</f>
        <v>13.89</v>
      </c>
      <c r="D27" s="52">
        <f>[78]실험기록부!$D$10</f>
        <v>5.3108207711800004</v>
      </c>
      <c r="E27" s="53">
        <f>[78]실험기록부!$E$10</f>
        <v>10.799999999999955</v>
      </c>
      <c r="F27" s="48">
        <f>[78]실험기록부!$F$10</f>
        <v>7.4169600000000004</v>
      </c>
      <c r="G27" s="48">
        <f>[78]실험기록부!$G$10</f>
        <v>0.30287999999999998</v>
      </c>
      <c r="H27" s="47">
        <f>[78]실험기록부!$H$10</f>
        <v>640</v>
      </c>
      <c r="I27" s="27"/>
      <c r="K27" s="65">
        <f t="shared" si="1"/>
        <v>6.9249999999999998</v>
      </c>
      <c r="L27" s="66">
        <f t="shared" si="2"/>
        <v>13.89</v>
      </c>
      <c r="M27" s="66">
        <f t="shared" si="3"/>
        <v>5.3108207711800004</v>
      </c>
      <c r="N27" s="66">
        <f t="shared" si="4"/>
        <v>10.799999999999955</v>
      </c>
      <c r="O27" s="66">
        <f t="shared" si="5"/>
        <v>7.4169600000000004</v>
      </c>
      <c r="P27" s="66">
        <f t="shared" si="6"/>
        <v>0.30287999999999998</v>
      </c>
      <c r="Q27" s="67">
        <f t="shared" si="7"/>
        <v>640</v>
      </c>
      <c r="R27" s="65"/>
    </row>
    <row r="28" spans="1:18" ht="20.100000000000001" customHeight="1">
      <c r="A28" s="25">
        <f>[80]일반사항!$B$4</f>
        <v>44433</v>
      </c>
      <c r="B28" s="58">
        <f>[80]일반사항!$E$27</f>
        <v>6.9550000000000001</v>
      </c>
      <c r="C28" s="51">
        <f>[80]실험기록부!$C$10</f>
        <v>13.620000000000003</v>
      </c>
      <c r="D28" s="52">
        <f>[80]실험기록부!$D$10</f>
        <v>5.4499928459599998</v>
      </c>
      <c r="E28" s="53">
        <f>[80]실험기록부!$E$10</f>
        <v>15.199999999999989</v>
      </c>
      <c r="F28" s="48">
        <f>[80]실험기록부!$F$10</f>
        <v>5.8089599999999999</v>
      </c>
      <c r="G28" s="48">
        <f>[80]실험기록부!$G$10</f>
        <v>0.46271999999999991</v>
      </c>
      <c r="H28" s="47">
        <f>[80]실험기록부!$H$10</f>
        <v>550</v>
      </c>
      <c r="I28" s="27"/>
      <c r="J28" s="14"/>
      <c r="K28" s="65">
        <f t="shared" si="1"/>
        <v>6.9550000000000001</v>
      </c>
      <c r="L28" s="66">
        <f t="shared" si="2"/>
        <v>13.620000000000003</v>
      </c>
      <c r="M28" s="66">
        <f t="shared" si="3"/>
        <v>5.4499928459599998</v>
      </c>
      <c r="N28" s="66">
        <f t="shared" si="4"/>
        <v>15.199999999999989</v>
      </c>
      <c r="O28" s="66">
        <f t="shared" si="5"/>
        <v>5.8089599999999999</v>
      </c>
      <c r="P28" s="66">
        <f t="shared" si="6"/>
        <v>0.46271999999999991</v>
      </c>
      <c r="Q28" s="67">
        <f t="shared" si="7"/>
        <v>550</v>
      </c>
      <c r="R28" s="65"/>
    </row>
    <row r="29" spans="1:18" ht="20.100000000000001" customHeight="1">
      <c r="A29" s="25">
        <f>[82]일반사항!$B$4</f>
        <v>44434</v>
      </c>
      <c r="B29" s="58">
        <f>[82]일반사항!$E$27</f>
        <v>6.9450000000000003</v>
      </c>
      <c r="C29" s="51">
        <f>[82]실험기록부!$C$10</f>
        <v>15.929999999999996</v>
      </c>
      <c r="D29" s="52">
        <f>[82]실험기록부!$D$10</f>
        <v>12.430648280382</v>
      </c>
      <c r="E29" s="53">
        <f>[82]실험기록부!$E$10</f>
        <v>18.799999999999958</v>
      </c>
      <c r="F29" s="48">
        <f>[82]실험기록부!$F$10</f>
        <v>6.4761600000000001</v>
      </c>
      <c r="G29" s="48">
        <f>[82]실험기록부!$G$10</f>
        <v>0.44087999999999999</v>
      </c>
      <c r="H29" s="47">
        <f>[82]실험기록부!$H$10</f>
        <v>850</v>
      </c>
      <c r="I29" s="27"/>
      <c r="K29" s="65">
        <f t="shared" si="1"/>
        <v>6.9450000000000003</v>
      </c>
      <c r="L29" s="66">
        <f t="shared" si="2"/>
        <v>15.929999999999996</v>
      </c>
      <c r="M29" s="66">
        <f t="shared" si="3"/>
        <v>12.430648280382</v>
      </c>
      <c r="N29" s="66">
        <f t="shared" si="4"/>
        <v>18.799999999999958</v>
      </c>
      <c r="O29" s="66">
        <f t="shared" si="5"/>
        <v>6.4761600000000001</v>
      </c>
      <c r="P29" s="66">
        <f t="shared" si="6"/>
        <v>0.44087999999999999</v>
      </c>
      <c r="Q29" s="67">
        <f t="shared" si="7"/>
        <v>850</v>
      </c>
      <c r="R29" s="65"/>
    </row>
    <row r="30" spans="1:18" ht="20.100000000000001" customHeight="1">
      <c r="A30" s="25">
        <f>[84]일반사항!$B$4</f>
        <v>44435</v>
      </c>
      <c r="B30" s="58">
        <f>[84]일반사항!$E$27</f>
        <v>6.9450000000000003</v>
      </c>
      <c r="C30" s="51">
        <f>[84]실험기록부!$C$10</f>
        <v>12</v>
      </c>
      <c r="D30" s="52">
        <f>[84]실험기록부!$D$10</f>
        <v>7.6069159219040001</v>
      </c>
      <c r="E30" s="53">
        <f>[84]실험기록부!$E$10</f>
        <v>12.800000000000011</v>
      </c>
      <c r="F30" s="48">
        <f>[84]실험기록부!$F$10</f>
        <v>6.53904</v>
      </c>
      <c r="G30" s="48">
        <f>[84]실험기록부!$G$10</f>
        <v>0.29563200000000001</v>
      </c>
      <c r="H30" s="47">
        <f>[84]실험기록부!$H$10</f>
        <v>470</v>
      </c>
      <c r="I30" s="27"/>
      <c r="K30" s="65">
        <f t="shared" si="1"/>
        <v>6.9450000000000003</v>
      </c>
      <c r="L30" s="66">
        <f t="shared" si="2"/>
        <v>12</v>
      </c>
      <c r="M30" s="66">
        <f t="shared" si="3"/>
        <v>7.6069159219040001</v>
      </c>
      <c r="N30" s="66">
        <f t="shared" si="4"/>
        <v>12.800000000000011</v>
      </c>
      <c r="O30" s="66">
        <f t="shared" si="5"/>
        <v>6.53904</v>
      </c>
      <c r="P30" s="66">
        <f t="shared" si="6"/>
        <v>0.29563200000000001</v>
      </c>
      <c r="Q30" s="67">
        <f t="shared" si="7"/>
        <v>470</v>
      </c>
      <c r="R30" s="65"/>
    </row>
    <row r="31" spans="1:18" ht="20.100000000000001" customHeight="1">
      <c r="A31" s="25">
        <f>[86]일반사항!$B$4</f>
        <v>44436</v>
      </c>
      <c r="B31" s="58">
        <f>[86]일반사항!$E$27</f>
        <v>0</v>
      </c>
      <c r="C31" s="51">
        <f>[86]실험기록부!$C$10</f>
        <v>0</v>
      </c>
      <c r="D31" s="52">
        <f>[86]실험기록부!$D$10</f>
        <v>0</v>
      </c>
      <c r="E31" s="53">
        <f>[86]실험기록부!$E$10</f>
        <v>0</v>
      </c>
      <c r="F31" s="48">
        <f>[86]실험기록부!$F$10</f>
        <v>0</v>
      </c>
      <c r="G31" s="48">
        <f>[86]실험기록부!$G$10</f>
        <v>0</v>
      </c>
      <c r="H31" s="47">
        <f>[86]실험기록부!$H$10</f>
        <v>0</v>
      </c>
      <c r="I31" s="27"/>
      <c r="K31" s="65" t="str">
        <f t="shared" si="1"/>
        <v/>
      </c>
      <c r="L31" s="66" t="str">
        <f t="shared" si="2"/>
        <v/>
      </c>
      <c r="M31" s="66" t="str">
        <f t="shared" si="3"/>
        <v/>
      </c>
      <c r="N31" s="66" t="str">
        <f t="shared" si="4"/>
        <v/>
      </c>
      <c r="O31" s="66" t="str">
        <f t="shared" si="5"/>
        <v/>
      </c>
      <c r="P31" s="66" t="str">
        <f t="shared" si="6"/>
        <v/>
      </c>
      <c r="Q31" s="67" t="str">
        <f t="shared" si="7"/>
        <v/>
      </c>
      <c r="R31" s="65"/>
    </row>
    <row r="32" spans="1:18" ht="20.100000000000001" customHeight="1">
      <c r="A32" s="25">
        <f>[88]일반사항!$B$4</f>
        <v>44437</v>
      </c>
      <c r="B32" s="58">
        <f>[88]일반사항!$E$27</f>
        <v>0</v>
      </c>
      <c r="C32" s="51">
        <f>[88]실험기록부!$C$10</f>
        <v>0</v>
      </c>
      <c r="D32" s="52">
        <f>[88]실험기록부!$D$10</f>
        <v>0</v>
      </c>
      <c r="E32" s="53">
        <f>[88]실험기록부!$E$10</f>
        <v>0</v>
      </c>
      <c r="F32" s="48">
        <f>[88]실험기록부!$F$10</f>
        <v>0</v>
      </c>
      <c r="G32" s="48">
        <f>[88]실험기록부!$G$10</f>
        <v>0</v>
      </c>
      <c r="H32" s="47">
        <f>[88]실험기록부!$H$10</f>
        <v>0</v>
      </c>
      <c r="I32" s="27"/>
      <c r="K32" s="65" t="str">
        <f t="shared" si="1"/>
        <v/>
      </c>
      <c r="L32" s="66" t="str">
        <f t="shared" si="2"/>
        <v/>
      </c>
      <c r="M32" s="66" t="str">
        <f t="shared" si="3"/>
        <v/>
      </c>
      <c r="N32" s="66" t="str">
        <f t="shared" si="4"/>
        <v/>
      </c>
      <c r="O32" s="66" t="str">
        <f t="shared" si="5"/>
        <v/>
      </c>
      <c r="P32" s="66" t="str">
        <f t="shared" si="6"/>
        <v/>
      </c>
      <c r="Q32" s="67" t="str">
        <f t="shared" si="7"/>
        <v/>
      </c>
      <c r="R32" s="65"/>
    </row>
    <row r="33" spans="1:18" ht="20.100000000000001" customHeight="1">
      <c r="A33" s="25">
        <f>[90]일반사항!$B$4</f>
        <v>44438</v>
      </c>
      <c r="B33" s="58">
        <f>[90]일반사항!$E$27</f>
        <v>6.915</v>
      </c>
      <c r="C33" s="51">
        <f>[90]실험기록부!$C$10</f>
        <v>15.750000000000004</v>
      </c>
      <c r="D33" s="52">
        <f>[90]실험기록부!$D$10</f>
        <v>15.570928567519999</v>
      </c>
      <c r="E33" s="53">
        <f>[90]실험기록부!$E$10</f>
        <v>17.199999999999989</v>
      </c>
      <c r="F33" s="48">
        <f>[90]실험기록부!$F$10</f>
        <v>5.1208799999999997</v>
      </c>
      <c r="G33" s="48">
        <f>[90]실험기록부!$G$10</f>
        <v>0.27057599999999998</v>
      </c>
      <c r="H33" s="47">
        <f>[90]실험기록부!$H$10</f>
        <v>680</v>
      </c>
      <c r="I33" s="27"/>
      <c r="K33" s="65">
        <f t="shared" si="1"/>
        <v>6.915</v>
      </c>
      <c r="L33" s="66">
        <f t="shared" si="2"/>
        <v>15.750000000000004</v>
      </c>
      <c r="M33" s="66">
        <f t="shared" si="3"/>
        <v>15.570928567519999</v>
      </c>
      <c r="N33" s="66">
        <f t="shared" si="4"/>
        <v>17.199999999999989</v>
      </c>
      <c r="O33" s="66">
        <f t="shared" si="5"/>
        <v>5.1208799999999997</v>
      </c>
      <c r="P33" s="66">
        <f t="shared" si="6"/>
        <v>0.27057599999999998</v>
      </c>
      <c r="Q33" s="67">
        <f t="shared" si="7"/>
        <v>680</v>
      </c>
      <c r="R33" s="65"/>
    </row>
    <row r="34" spans="1:18" ht="20.100000000000001" customHeight="1" thickBot="1">
      <c r="A34" s="28">
        <f>[92]일반사항!$B$4</f>
        <v>44439</v>
      </c>
      <c r="B34" s="59">
        <f>[92]일반사항!$E$27</f>
        <v>6.9550000000000001</v>
      </c>
      <c r="C34" s="54">
        <f>[92]실험기록부!$C$10</f>
        <v>14.640000000000002</v>
      </c>
      <c r="D34" s="55">
        <f>[92]실험기록부!$D$10</f>
        <v>10.980082764696</v>
      </c>
      <c r="E34" s="56">
        <f>[92]실험기록부!$E$10</f>
        <v>9.1999999999999886</v>
      </c>
      <c r="F34" s="49">
        <f>[92]실험기록부!$F$10</f>
        <v>5.4523199999999994</v>
      </c>
      <c r="G34" s="49">
        <f>[92]실험기록부!$G$10</f>
        <v>0.45311999999999997</v>
      </c>
      <c r="H34" s="50">
        <f>[92]실험기록부!$H$10</f>
        <v>710</v>
      </c>
      <c r="I34" s="34"/>
      <c r="K34" s="66"/>
      <c r="L34" s="66"/>
      <c r="M34" s="66"/>
      <c r="N34" s="66"/>
      <c r="O34" s="66"/>
      <c r="P34" s="66"/>
      <c r="Q34" s="66"/>
      <c r="R34" s="66"/>
    </row>
    <row r="35" spans="1:18" ht="20.100000000000001" customHeight="1" thickTop="1">
      <c r="A35" s="15" t="s">
        <v>0</v>
      </c>
      <c r="B35" s="68">
        <f t="shared" ref="B35:H35" si="9">MAX(B4:B33)</f>
        <v>7.0549999999999997</v>
      </c>
      <c r="C35" s="69">
        <f t="shared" si="9"/>
        <v>17.370000000000005</v>
      </c>
      <c r="D35" s="69">
        <f t="shared" si="9"/>
        <v>20.042887241132</v>
      </c>
      <c r="E35" s="69">
        <f t="shared" si="9"/>
        <v>18.799999999999958</v>
      </c>
      <c r="F35" s="70">
        <f t="shared" si="9"/>
        <v>10.98288</v>
      </c>
      <c r="G35" s="70">
        <f t="shared" si="9"/>
        <v>0.52281599999999995</v>
      </c>
      <c r="H35" s="71">
        <f t="shared" si="9"/>
        <v>890</v>
      </c>
      <c r="I35" s="87"/>
    </row>
    <row r="36" spans="1:18" ht="20.100000000000001" customHeight="1">
      <c r="A36" s="1" t="s">
        <v>1</v>
      </c>
      <c r="B36" s="72">
        <f t="shared" ref="B36:H36" si="10">MIN(K4:K33)</f>
        <v>6.8949999999999996</v>
      </c>
      <c r="C36" s="73">
        <f t="shared" si="10"/>
        <v>10.440000000000001</v>
      </c>
      <c r="D36" s="73">
        <f t="shared" si="10"/>
        <v>3.9842230551340001</v>
      </c>
      <c r="E36" s="73">
        <f t="shared" si="10"/>
        <v>9.1999999999999886</v>
      </c>
      <c r="F36" s="74">
        <f t="shared" si="10"/>
        <v>5.1208799999999997</v>
      </c>
      <c r="G36" s="74">
        <f t="shared" si="10"/>
        <v>0.19463999999999995</v>
      </c>
      <c r="H36" s="47">
        <f t="shared" si="10"/>
        <v>470</v>
      </c>
      <c r="I36" s="79"/>
    </row>
    <row r="37" spans="1:18" ht="20.100000000000001" customHeight="1" thickBot="1">
      <c r="A37" s="2" t="s">
        <v>2</v>
      </c>
      <c r="B37" s="75">
        <f t="shared" ref="B37:H37" si="11">AVERAGEIF(B4:B33,"&gt;0")</f>
        <v>6.9332499999999992</v>
      </c>
      <c r="C37" s="76">
        <f t="shared" si="11"/>
        <v>14.441999999999998</v>
      </c>
      <c r="D37" s="76">
        <f t="shared" si="11"/>
        <v>10.9218585553516</v>
      </c>
      <c r="E37" s="76">
        <f t="shared" si="11"/>
        <v>14.659999999999993</v>
      </c>
      <c r="F37" s="77">
        <f t="shared" si="11"/>
        <v>7.0257960000000015</v>
      </c>
      <c r="G37" s="77">
        <f t="shared" si="11"/>
        <v>0.34360800000000002</v>
      </c>
      <c r="H37" s="78">
        <f t="shared" si="11"/>
        <v>650</v>
      </c>
      <c r="I37" s="80"/>
      <c r="J37" s="61"/>
      <c r="K37" s="61"/>
    </row>
    <row r="38" spans="1:18">
      <c r="H38" s="60"/>
    </row>
  </sheetData>
  <mergeCells count="3">
    <mergeCell ref="A1:I1"/>
    <mergeCell ref="A2:A3"/>
    <mergeCell ref="B2:I2"/>
  </mergeCells>
  <phoneticPr fontId="1" type="noConversion"/>
  <printOptions horizontalCentered="1"/>
  <pageMargins left="0.39370078740157483" right="0.39370078740157483" top="0.59055118110236227" bottom="0.19685039370078741" header="0.31496062992125984" footer="0.31496062992125984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view="pageBreakPreview" zoomScaleSheetLayoutView="100" workbookViewId="0">
      <pane xSplit="1" ySplit="3" topLeftCell="B14" activePane="bottomRight" state="frozen"/>
      <selection activeCell="G34" sqref="G34"/>
      <selection pane="topRight" activeCell="G34" sqref="G34"/>
      <selection pane="bottomLeft" activeCell="G34" sqref="G34"/>
      <selection pane="bottomRight" activeCell="A21" sqref="A21:I34"/>
    </sheetView>
  </sheetViews>
  <sheetFormatPr defaultRowHeight="16.5"/>
  <cols>
    <col min="1" max="1" width="9.875" bestFit="1" customWidth="1"/>
    <col min="2" max="2" width="9" style="3"/>
    <col min="3" max="3" width="9" style="43"/>
    <col min="4" max="5" width="9" style="5"/>
    <col min="6" max="6" width="9.5" style="6" customWidth="1"/>
    <col min="7" max="7" width="9" style="6"/>
    <col min="8" max="8" width="9" style="8" customWidth="1"/>
    <col min="9" max="9" width="9.5" style="7" customWidth="1"/>
    <col min="10" max="10" width="9.5" bestFit="1" customWidth="1"/>
  </cols>
  <sheetData>
    <row r="1" spans="1:10" ht="24.95" customHeight="1" thickBot="1">
      <c r="A1" s="122" t="s">
        <v>26</v>
      </c>
      <c r="B1" s="122"/>
      <c r="C1" s="122"/>
      <c r="D1" s="122"/>
      <c r="E1" s="122"/>
      <c r="F1" s="122"/>
      <c r="G1" s="122"/>
      <c r="H1" s="122"/>
      <c r="I1" s="122"/>
    </row>
    <row r="2" spans="1:10" ht="20.100000000000001" customHeight="1">
      <c r="A2" s="117" t="s">
        <v>14</v>
      </c>
      <c r="B2" s="119" t="s">
        <v>10</v>
      </c>
      <c r="C2" s="120"/>
      <c r="D2" s="120"/>
      <c r="E2" s="120"/>
      <c r="F2" s="120"/>
      <c r="G2" s="120"/>
      <c r="H2" s="120"/>
      <c r="I2" s="121"/>
    </row>
    <row r="3" spans="1:10" ht="24.95" customHeight="1" thickBot="1">
      <c r="A3" s="118"/>
      <c r="B3" s="9" t="s">
        <v>3</v>
      </c>
      <c r="C3" s="44" t="s">
        <v>4</v>
      </c>
      <c r="D3" s="10" t="s">
        <v>23</v>
      </c>
      <c r="E3" s="10" t="s">
        <v>5</v>
      </c>
      <c r="F3" s="11" t="s">
        <v>6</v>
      </c>
      <c r="G3" s="11" t="s">
        <v>7</v>
      </c>
      <c r="H3" s="13" t="s">
        <v>8</v>
      </c>
      <c r="I3" s="12" t="s">
        <v>9</v>
      </c>
      <c r="J3" t="s">
        <v>22</v>
      </c>
    </row>
    <row r="4" spans="1:10" ht="20.100000000000001" customHeight="1" thickTop="1">
      <c r="A4" s="21">
        <f>[32]일반사항!$B$4</f>
        <v>44409</v>
      </c>
      <c r="B4" s="88">
        <f>[32]일반사항!$E$28</f>
        <v>6.8650000000000002</v>
      </c>
      <c r="C4" s="89">
        <f>[32]실험기록부!$C$11</f>
        <v>1.1499999999999995</v>
      </c>
      <c r="D4" s="90">
        <f>[32]실험기록부!$D$11</f>
        <v>5.8154906120899996</v>
      </c>
      <c r="E4" s="22">
        <f>[32]실험기록부!$E$11</f>
        <v>1.7</v>
      </c>
      <c r="F4" s="23">
        <f>[32]실험기록부!$F$11</f>
        <v>4.8760000000000003</v>
      </c>
      <c r="G4" s="23">
        <f>[32]실험기록부!$G$11</f>
        <v>5.8999999999999997E-2</v>
      </c>
      <c r="H4" s="24">
        <f>[32]실험기록부!$H$11</f>
        <v>11</v>
      </c>
      <c r="I4" s="26">
        <f>[33]커버3!$G$13</f>
        <v>755</v>
      </c>
      <c r="J4" s="96">
        <f>[32]일반사항!$D$28</f>
        <v>25.6</v>
      </c>
    </row>
    <row r="5" spans="1:10" ht="20.100000000000001" customHeight="1">
      <c r="A5" s="25">
        <f>[34]일반사항!$B$4</f>
        <v>44410</v>
      </c>
      <c r="B5" s="16">
        <f>[34]일반사항!$E$28</f>
        <v>6.9050000000000002</v>
      </c>
      <c r="C5" s="45">
        <f>[34]실험기록부!$C$11</f>
        <v>0.79999999999999982</v>
      </c>
      <c r="D5" s="17">
        <f>[34]실험기록부!$D$11</f>
        <v>6.6006884472799996</v>
      </c>
      <c r="E5" s="18">
        <f>[34]실험기록부!$E$11</f>
        <v>2</v>
      </c>
      <c r="F5" s="19">
        <f>[34]실험기록부!$F$11</f>
        <v>3.6417600000000001</v>
      </c>
      <c r="G5" s="19">
        <f>[34]실험기록부!$G$11</f>
        <v>4.9487999999999997E-2</v>
      </c>
      <c r="H5" s="20">
        <f>[34]실험기록부!$H$11</f>
        <v>11</v>
      </c>
      <c r="I5" s="27">
        <f>[35]커버3!$G$13</f>
        <v>1052</v>
      </c>
      <c r="J5" s="96">
        <f>[34]일반사항!$D$28</f>
        <v>25.55</v>
      </c>
    </row>
    <row r="6" spans="1:10" ht="20.100000000000001" customHeight="1">
      <c r="A6" s="25">
        <f>[36]일반사항!$B$4</f>
        <v>44411</v>
      </c>
      <c r="B6" s="16">
        <f>[36]일반사항!$E$28</f>
        <v>6.8949999999999996</v>
      </c>
      <c r="C6" s="45">
        <f>[36]실험기록부!$C$11</f>
        <v>1.2600000000000007</v>
      </c>
      <c r="D6" s="17">
        <f>[36]실험기록부!$D$11</f>
        <v>5.39803973188</v>
      </c>
      <c r="E6" s="18">
        <f>[36]실험기록부!$E$11</f>
        <v>2.1999999999999886</v>
      </c>
      <c r="F6" s="19">
        <f>[36]실험기록부!$F$11</f>
        <v>5.2151999999999994</v>
      </c>
      <c r="G6" s="19">
        <f>[36]실험기록부!$G$11</f>
        <v>4.2911999999999999E-2</v>
      </c>
      <c r="H6" s="20">
        <f>[36]실험기록부!$H$11</f>
        <v>11</v>
      </c>
      <c r="I6" s="27">
        <f>[37]커버3!$G$13</f>
        <v>1114</v>
      </c>
      <c r="J6" s="96">
        <f>[36]일반사항!$D$28</f>
        <v>25.6</v>
      </c>
    </row>
    <row r="7" spans="1:10" ht="20.100000000000001" customHeight="1">
      <c r="A7" s="25">
        <f>[38]일반사항!$B$4</f>
        <v>44412</v>
      </c>
      <c r="B7" s="16">
        <f>[38]일반사항!$E$28</f>
        <v>6.9050000000000002</v>
      </c>
      <c r="C7" s="45">
        <f>[38]실험기록부!$C$11</f>
        <v>1.2199999999999998</v>
      </c>
      <c r="D7" s="17">
        <f>[38]실험기록부!$D$11</f>
        <v>5.0727946035000002</v>
      </c>
      <c r="E7" s="18">
        <f>[38]실험기록부!$E$11</f>
        <v>2</v>
      </c>
      <c r="F7" s="19">
        <f>[38]실험기록부!$F$11</f>
        <v>5.3323200000000002</v>
      </c>
      <c r="G7" s="19">
        <f>[38]실험기록부!$G$11</f>
        <v>4.3247999999999995E-2</v>
      </c>
      <c r="H7" s="20">
        <f>[38]실험기록부!$H$11</f>
        <v>7</v>
      </c>
      <c r="I7" s="27">
        <f>[39]커버3!$G$13</f>
        <v>1022</v>
      </c>
      <c r="J7" s="96">
        <f>[38]일반사항!$D$28</f>
        <v>25.75</v>
      </c>
    </row>
    <row r="8" spans="1:10" ht="20.100000000000001" customHeight="1">
      <c r="A8" s="25">
        <f>[40]일반사항!$B$4</f>
        <v>44413</v>
      </c>
      <c r="B8" s="16">
        <f>[40]일반사항!$E$28</f>
        <v>6.8949999999999996</v>
      </c>
      <c r="C8" s="45">
        <f>[40]실험기록부!$C$11</f>
        <v>1.6100000000000003</v>
      </c>
      <c r="D8" s="17">
        <f>[40]실험기록부!$D$11</f>
        <v>5.232130954744</v>
      </c>
      <c r="E8" s="18">
        <f>[40]실험기록부!$E$11</f>
        <v>2.3999999999999773</v>
      </c>
      <c r="F8" s="19">
        <f>[40]실험기록부!$F$11</f>
        <v>5.8060799999999997</v>
      </c>
      <c r="G8" s="19">
        <f>[40]실험기록부!$G$11</f>
        <v>5.2560000000000003E-2</v>
      </c>
      <c r="H8" s="20">
        <f>[40]실험기록부!$H$11</f>
        <v>8.5</v>
      </c>
      <c r="I8" s="27">
        <f>[41]커버3!$G$13</f>
        <v>718</v>
      </c>
      <c r="J8" s="96">
        <f>[40]일반사항!$D$28</f>
        <v>25.75</v>
      </c>
    </row>
    <row r="9" spans="1:10" ht="20.100000000000001" customHeight="1">
      <c r="A9" s="25">
        <f>[42]일반사항!$B$4</f>
        <v>44414</v>
      </c>
      <c r="B9" s="16">
        <f>[42]일반사항!$E$28</f>
        <v>6.92</v>
      </c>
      <c r="C9" s="45">
        <f>[42]실험기록부!$C$11</f>
        <v>1.2700000000000005</v>
      </c>
      <c r="D9" s="17">
        <f>[42]실험기록부!$D$11</f>
        <v>4.395919246848</v>
      </c>
      <c r="E9" s="18">
        <f>[42]실험기록부!$E$11</f>
        <v>2.5999999999999948</v>
      </c>
      <c r="F9" s="19">
        <f>[42]실험기록부!$F$11</f>
        <v>5.7604799999999994</v>
      </c>
      <c r="G9" s="19">
        <f>[42]실험기록부!$G$11</f>
        <v>5.6927999999999999E-2</v>
      </c>
      <c r="H9" s="20">
        <f>[42]실험기록부!$H$11</f>
        <v>7</v>
      </c>
      <c r="I9" s="27">
        <f>[43]커버3!$G$13</f>
        <v>734</v>
      </c>
      <c r="J9" s="96">
        <f>[42]일반사항!$D$28</f>
        <v>26.35</v>
      </c>
    </row>
    <row r="10" spans="1:10" ht="20.100000000000001" customHeight="1">
      <c r="A10" s="25">
        <f>[44]일반사항!$B$4</f>
        <v>44415</v>
      </c>
      <c r="B10" s="16">
        <f>[44]일반사항!$E$28</f>
        <v>6.9399999999999995</v>
      </c>
      <c r="C10" s="45">
        <f>[44]실험기록부!$C$11</f>
        <v>0.74999999999999911</v>
      </c>
      <c r="D10" s="17">
        <f>[44]실험기록부!$D$11</f>
        <v>3.7544857115800001</v>
      </c>
      <c r="E10" s="18">
        <f>[44]실험기록부!$E$11</f>
        <v>1.6</v>
      </c>
      <c r="F10" s="19">
        <f>[44]실험기록부!$F$11</f>
        <v>4.4370000000000003</v>
      </c>
      <c r="G10" s="19">
        <f>[44]실험기록부!$G$11</f>
        <v>6.0999999999999999E-2</v>
      </c>
      <c r="H10" s="20">
        <f>[44]실험기록부!$H$11</f>
        <v>7</v>
      </c>
      <c r="I10" s="27">
        <f>[45]커버3!$G$13</f>
        <v>846</v>
      </c>
      <c r="J10" s="96">
        <f>[44]일반사항!$D$28</f>
        <v>25.85</v>
      </c>
    </row>
    <row r="11" spans="1:10" ht="20.100000000000001" customHeight="1">
      <c r="A11" s="25">
        <f>[46]일반사항!$B$4</f>
        <v>44416</v>
      </c>
      <c r="B11" s="16">
        <f>[46]일반사항!$E$28</f>
        <v>6.9050000000000002</v>
      </c>
      <c r="C11" s="45">
        <f>[46]실험기록부!$C$11</f>
        <v>1.1300000000000008</v>
      </c>
      <c r="D11" s="17">
        <f>[46]실험기록부!$D$11</f>
        <v>3.8896586138</v>
      </c>
      <c r="E11" s="18">
        <f>[46]실험기록부!$E$11</f>
        <v>1.7</v>
      </c>
      <c r="F11" s="19">
        <f>[46]실험기록부!$F$11</f>
        <v>3.5049999999999999</v>
      </c>
      <c r="G11" s="19">
        <f>[46]실험기록부!$G$11</f>
        <v>5.8000000000000003E-2</v>
      </c>
      <c r="H11" s="20">
        <f>[46]실험기록부!$H$11</f>
        <v>12</v>
      </c>
      <c r="I11" s="27">
        <f>[47]커버3!$G$13</f>
        <v>618</v>
      </c>
      <c r="J11" s="96">
        <f>[46]일반사항!$D$28</f>
        <v>25.9</v>
      </c>
    </row>
    <row r="12" spans="1:10" ht="20.100000000000001" customHeight="1">
      <c r="A12" s="25">
        <f>[48]일반사항!$B$4</f>
        <v>44417</v>
      </c>
      <c r="B12" s="16">
        <f>[48]일반사항!$E$28</f>
        <v>6.8049999999999997</v>
      </c>
      <c r="C12" s="45">
        <f>[48]실험기록부!$C$11</f>
        <v>1.9800000000000004</v>
      </c>
      <c r="D12" s="17">
        <f>[48]실험기록부!$D$11</f>
        <v>3.9269658071600002</v>
      </c>
      <c r="E12" s="18">
        <f>[48]실험기록부!$E$11</f>
        <v>2.2000000000000175</v>
      </c>
      <c r="F12" s="19">
        <f>[48]실험기록부!$F$11</f>
        <v>5.2262399999999998</v>
      </c>
      <c r="G12" s="19">
        <f>[48]실험기록부!$G$11</f>
        <v>1.7616E-2</v>
      </c>
      <c r="H12" s="20">
        <f>[48]실험기록부!$H$11</f>
        <v>4.5</v>
      </c>
      <c r="I12" s="27">
        <f>[49]커버3!$G$13</f>
        <v>544</v>
      </c>
      <c r="J12" s="96">
        <f>[48]일반사항!$D$28</f>
        <v>25.65</v>
      </c>
    </row>
    <row r="13" spans="1:10" ht="20.100000000000001" customHeight="1">
      <c r="A13" s="25">
        <f>[50]일반사항!$B$4</f>
        <v>44418</v>
      </c>
      <c r="B13" s="16">
        <f>[50]일반사항!$E$28</f>
        <v>6.8449999999999998</v>
      </c>
      <c r="C13" s="45">
        <f>[50]실험기록부!$C$11</f>
        <v>1.54</v>
      </c>
      <c r="D13" s="17">
        <f>[50]실험기록부!$D$11</f>
        <v>4.058950591436</v>
      </c>
      <c r="E13" s="18">
        <f>[50]실험기록부!$E$11</f>
        <v>1.5999999999999943</v>
      </c>
      <c r="F13" s="19">
        <f>[50]실험기록부!$F$11</f>
        <v>5.2310400000000001</v>
      </c>
      <c r="G13" s="19">
        <f>[50]실험기록부!$G$11</f>
        <v>2.2511999999999997E-2</v>
      </c>
      <c r="H13" s="20">
        <f>[50]실험기록부!$H$11</f>
        <v>9</v>
      </c>
      <c r="I13" s="27">
        <f>[51]커버3!$G$13</f>
        <v>634</v>
      </c>
      <c r="J13" s="96">
        <f>[50]일반사항!$D$28</f>
        <v>25.6</v>
      </c>
    </row>
    <row r="14" spans="1:10" ht="20.100000000000001" customHeight="1">
      <c r="A14" s="25">
        <f>[52]일반사항!$B$4</f>
        <v>44419</v>
      </c>
      <c r="B14" s="16">
        <f>[52]일반사항!$E$28</f>
        <v>6.83</v>
      </c>
      <c r="C14" s="45">
        <f>[52]실험기록부!$C$11</f>
        <v>1.2500000000000009</v>
      </c>
      <c r="D14" s="17">
        <f>[52]실험기록부!$D$11</f>
        <v>3.1567639283840001</v>
      </c>
      <c r="E14" s="18">
        <f>[52]실험기록부!$E$11</f>
        <v>2.2000000000000175</v>
      </c>
      <c r="F14" s="19">
        <f>[52]실험기록부!$F$11</f>
        <v>6.4636799999999992</v>
      </c>
      <c r="G14" s="19">
        <f>[52]실험기록부!$G$11</f>
        <v>1.7616E-2</v>
      </c>
      <c r="H14" s="20">
        <f>[52]실험기록부!$H$11</f>
        <v>5.5</v>
      </c>
      <c r="I14" s="27">
        <f>[53]커버3!$G$13</f>
        <v>647</v>
      </c>
      <c r="J14" s="96">
        <f>[52]일반사항!$D$28</f>
        <v>25.8</v>
      </c>
    </row>
    <row r="15" spans="1:10" ht="20.100000000000001" customHeight="1">
      <c r="A15" s="25">
        <f>[54]일반사항!$B$4</f>
        <v>44420</v>
      </c>
      <c r="B15" s="16">
        <f>[54]일반사항!$E$28</f>
        <v>6.8550000000000004</v>
      </c>
      <c r="C15" s="45">
        <f>[54]실험기록부!$C$11</f>
        <v>1.3899999999999997</v>
      </c>
      <c r="D15" s="17">
        <f>[54]실험기록부!$D$11</f>
        <v>5.8996485549519999</v>
      </c>
      <c r="E15" s="18">
        <f>[54]실험기록부!$E$11</f>
        <v>1.6000000000000227</v>
      </c>
      <c r="F15" s="19">
        <f>[54]실험기록부!$F$11</f>
        <v>6.5419200000000002</v>
      </c>
      <c r="G15" s="19">
        <f>[54]실험기록부!$G$11</f>
        <v>3.6624000000000004E-2</v>
      </c>
      <c r="H15" s="20">
        <f>[54]실험기록부!$H$11</f>
        <v>13</v>
      </c>
      <c r="I15" s="27">
        <f>[55]커버3!$G$13</f>
        <v>623</v>
      </c>
      <c r="J15" s="96">
        <f>[54]일반사항!$D$28</f>
        <v>25.6</v>
      </c>
    </row>
    <row r="16" spans="1:10" ht="20.100000000000001" customHeight="1">
      <c r="A16" s="25">
        <f>[56]일반사항!$B$4</f>
        <v>44421</v>
      </c>
      <c r="B16" s="16">
        <f>[56]일반사항!$E$28</f>
        <v>6.8650000000000002</v>
      </c>
      <c r="C16" s="45">
        <f>[56]실험기록부!$C$11</f>
        <v>1.0899999999999999</v>
      </c>
      <c r="D16" s="17">
        <f>[56]실험기록부!$D$11</f>
        <v>4.2109758768000001</v>
      </c>
      <c r="E16" s="18">
        <f>[56]실험기록부!$E$11</f>
        <v>1.5999999999999943</v>
      </c>
      <c r="F16" s="19">
        <f>[56]실험기록부!$F$11</f>
        <v>5.7225600000000005</v>
      </c>
      <c r="G16" s="19">
        <f>[56]실험기록부!$G$11</f>
        <v>4.4112000000000012E-2</v>
      </c>
      <c r="H16" s="20">
        <f>[56]실험기록부!$H$11</f>
        <v>11</v>
      </c>
      <c r="I16" s="27">
        <f>[57]커버3!$G$13</f>
        <v>500</v>
      </c>
      <c r="J16" s="96">
        <f>[56]일반사항!$D$28</f>
        <v>25.75</v>
      </c>
    </row>
    <row r="17" spans="1:10" ht="20.100000000000001" customHeight="1">
      <c r="A17" s="25">
        <f>[58]일반사항!$B$4</f>
        <v>44422</v>
      </c>
      <c r="B17" s="16">
        <f>[58]일반사항!$E$28</f>
        <v>6.8550000000000004</v>
      </c>
      <c r="C17" s="45">
        <f>[58]실험기록부!$C$11</f>
        <v>2.2699999999999996</v>
      </c>
      <c r="D17" s="17">
        <f>[58]실험기록부!$D$11</f>
        <v>5.124531565232</v>
      </c>
      <c r="E17" s="18">
        <f>[58]실험기록부!$E$11</f>
        <v>1.6</v>
      </c>
      <c r="F17" s="19">
        <f>[58]실험기록부!$F$11</f>
        <v>4.1120000000000001</v>
      </c>
      <c r="G17" s="19">
        <f>[58]실험기록부!$G$11</f>
        <v>5.1999999999999998E-2</v>
      </c>
      <c r="H17" s="20">
        <f>[58]실험기록부!$H$11</f>
        <v>5.5</v>
      </c>
      <c r="I17" s="27">
        <f>[59]커버3!$G$13</f>
        <v>556</v>
      </c>
      <c r="J17" s="96">
        <f>[58]일반사항!$D$28</f>
        <v>25.55</v>
      </c>
    </row>
    <row r="18" spans="1:10" ht="20.100000000000001" customHeight="1">
      <c r="A18" s="25">
        <f>[60]일반사항!$B$4</f>
        <v>44423</v>
      </c>
      <c r="B18" s="16">
        <f>[60]일반사항!$E$28</f>
        <v>6.9</v>
      </c>
      <c r="C18" s="45">
        <f>[60]실험기록부!$C$11</f>
        <v>1.2999999999999998</v>
      </c>
      <c r="D18" s="17">
        <f>[60]실험기록부!$D$11</f>
        <v>4.9898152086560001</v>
      </c>
      <c r="E18" s="18">
        <f>[60]실험기록부!$E$11</f>
        <v>1.6</v>
      </c>
      <c r="F18" s="19">
        <f>[60]실험기록부!$F$11</f>
        <v>4.9790000000000001</v>
      </c>
      <c r="G18" s="19">
        <f>[60]실험기록부!$G$11</f>
        <v>5.1999999999999998E-2</v>
      </c>
      <c r="H18" s="20">
        <f>[60]실험기록부!$H$11</f>
        <v>12</v>
      </c>
      <c r="I18" s="27">
        <f>[61]커버3!$G$13</f>
        <v>557</v>
      </c>
      <c r="J18" s="96">
        <f>[60]일반사항!$D$28</f>
        <v>25.9</v>
      </c>
    </row>
    <row r="19" spans="1:10" ht="20.100000000000001" customHeight="1">
      <c r="A19" s="25">
        <f>[62]일반사항!$B$4</f>
        <v>44424</v>
      </c>
      <c r="B19" s="16">
        <f>[62]일반사항!$E$28</f>
        <v>6.915</v>
      </c>
      <c r="C19" s="45">
        <f>[62]실험기록부!$C$11</f>
        <v>1.4400000000000004</v>
      </c>
      <c r="D19" s="17">
        <f>[62]실험기록부!$D$11</f>
        <v>4.7843121383360003</v>
      </c>
      <c r="E19" s="18">
        <f>[62]실험기록부!$E$11</f>
        <v>1.6</v>
      </c>
      <c r="F19" s="19">
        <f>[62]실험기록부!$F$11</f>
        <v>4.1379999999999999</v>
      </c>
      <c r="G19" s="19">
        <f>[62]실험기록부!$G$11</f>
        <v>4.3999999999999997E-2</v>
      </c>
      <c r="H19" s="20">
        <f>[62]실험기록부!$H$11</f>
        <v>6</v>
      </c>
      <c r="I19" s="27">
        <f>[63]커버3!$G$13</f>
        <v>550</v>
      </c>
      <c r="J19" s="96">
        <f>[62]일반사항!$D$28</f>
        <v>26</v>
      </c>
    </row>
    <row r="20" spans="1:10" ht="20.100000000000001" customHeight="1">
      <c r="A20" s="25">
        <f>[64]일반사항!$B$4</f>
        <v>44425</v>
      </c>
      <c r="B20" s="16">
        <f>[64]일반사항!$E$28</f>
        <v>6.8650000000000002</v>
      </c>
      <c r="C20" s="45">
        <f>[64]실험기록부!$C$11</f>
        <v>1.370000000000001</v>
      </c>
      <c r="D20" s="17">
        <f>[64]실험기록부!$D$11</f>
        <v>3.7599620781619998</v>
      </c>
      <c r="E20" s="18">
        <f>[64]실험기록부!$E$11</f>
        <v>2</v>
      </c>
      <c r="F20" s="19">
        <f>[64]실험기록부!$F$11</f>
        <v>6.2769599999999999</v>
      </c>
      <c r="G20" s="19">
        <f>[64]실험기록부!$G$11</f>
        <v>5.5536000000000002E-2</v>
      </c>
      <c r="H20" s="20">
        <f>[64]실험기록부!$H$11</f>
        <v>8.5</v>
      </c>
      <c r="I20" s="27">
        <f>[65]커버3!$G$13</f>
        <v>538</v>
      </c>
      <c r="J20" s="96">
        <f>[17]일반사항!$D$28</f>
        <v>23.75</v>
      </c>
    </row>
    <row r="21" spans="1:10" ht="20.100000000000001" customHeight="1">
      <c r="A21" s="25">
        <f>[66]일반사항!$B$4</f>
        <v>44426</v>
      </c>
      <c r="B21" s="16">
        <f>[66]일반사항!$E$28</f>
        <v>6.8449999999999998</v>
      </c>
      <c r="C21" s="45">
        <f>[66]실험기록부!$C$11</f>
        <v>1.0999999999999996</v>
      </c>
      <c r="D21" s="17">
        <f>[66]실험기록부!$D$11</f>
        <v>4.8536557875859998</v>
      </c>
      <c r="E21" s="18">
        <f>[66]실험기록부!$E$11</f>
        <v>1.5999999999999943</v>
      </c>
      <c r="F21" s="19">
        <f>[66]실험기록부!$F$11</f>
        <v>6.2942400000000003</v>
      </c>
      <c r="G21" s="19">
        <f>[66]실험기록부!$G$11</f>
        <v>5.3232000000000002E-2</v>
      </c>
      <c r="H21" s="20">
        <f>[66]실험기록부!$H$11</f>
        <v>3</v>
      </c>
      <c r="I21" s="27">
        <f>[67]커버3!$G$13</f>
        <v>610</v>
      </c>
      <c r="J21" s="96">
        <f>[18]일반사항!$D$28</f>
        <v>23.65</v>
      </c>
    </row>
    <row r="22" spans="1:10" ht="20.100000000000001" customHeight="1">
      <c r="A22" s="25">
        <f>[68]일반사항!$B$4</f>
        <v>44427</v>
      </c>
      <c r="B22" s="16">
        <f>[68]일반사항!$E$28</f>
        <v>6.88</v>
      </c>
      <c r="C22" s="45">
        <f>[68]실험기록부!$C$11</f>
        <v>1.5499999999999998</v>
      </c>
      <c r="D22" s="17">
        <f>[68]실험기록부!$D$11</f>
        <v>5.2854148864979997</v>
      </c>
      <c r="E22" s="18">
        <f>[68]실험기록부!$E$11</f>
        <v>2</v>
      </c>
      <c r="F22" s="19">
        <f>[68]실험기록부!$F$11</f>
        <v>7.4428800000000006</v>
      </c>
      <c r="G22" s="19">
        <f>[68]실험기록부!$G$11</f>
        <v>4.3920000000000001E-2</v>
      </c>
      <c r="H22" s="20">
        <f>[68]실험기록부!$H$11</f>
        <v>5</v>
      </c>
      <c r="I22" s="27">
        <f>[69]커버3!$G$13</f>
        <v>541</v>
      </c>
      <c r="J22" s="96">
        <f>[19]일반사항!$D$28</f>
        <v>21.5</v>
      </c>
    </row>
    <row r="23" spans="1:10" ht="20.100000000000001" customHeight="1">
      <c r="A23" s="25">
        <f>[70]일반사항!$B$4</f>
        <v>44428</v>
      </c>
      <c r="B23" s="16">
        <f>[70]일반사항!$E$28</f>
        <v>6.8550000000000004</v>
      </c>
      <c r="C23" s="45">
        <f>[70]실험기록부!$C$11</f>
        <v>1.37</v>
      </c>
      <c r="D23" s="17">
        <f>[70]실험기록부!$D$11</f>
        <v>4.2166798512319996</v>
      </c>
      <c r="E23" s="18">
        <f>[70]실험기록부!$E$11</f>
        <v>2.5999999999999948</v>
      </c>
      <c r="F23" s="19">
        <f>[70]실험기록부!$F$11</f>
        <v>6.1406399999999994</v>
      </c>
      <c r="G23" s="19">
        <f>[70]실험기록부!$G$11</f>
        <v>3.2448000000000005E-2</v>
      </c>
      <c r="H23" s="20">
        <f>[70]실험기록부!$H$11</f>
        <v>6</v>
      </c>
      <c r="I23" s="27">
        <f>[71]커버3!$G$13</f>
        <v>533</v>
      </c>
      <c r="J23" s="96">
        <f>[20]일반사항!$D$28</f>
        <v>23.75</v>
      </c>
    </row>
    <row r="24" spans="1:10" ht="20.100000000000001" customHeight="1">
      <c r="A24" s="25">
        <f>[72]일반사항!$B$4</f>
        <v>44429</v>
      </c>
      <c r="B24" s="16">
        <f>[72]일반사항!$E$28</f>
        <v>6.875</v>
      </c>
      <c r="C24" s="45">
        <f>[72]실험기록부!$C$11</f>
        <v>1.4900000000000002</v>
      </c>
      <c r="D24" s="17">
        <f>[72]실험기록부!$D$11</f>
        <v>5.4602199547039998</v>
      </c>
      <c r="E24" s="18">
        <f>[72]실험기록부!$E$11</f>
        <v>1.7</v>
      </c>
      <c r="F24" s="19">
        <f>[72]실험기록부!$F$11</f>
        <v>4.1260000000000003</v>
      </c>
      <c r="G24" s="19">
        <f>[72]실험기록부!$G$11</f>
        <v>8.5000000000000006E-2</v>
      </c>
      <c r="H24" s="20">
        <f>[72]실험기록부!$H$11</f>
        <v>12</v>
      </c>
      <c r="I24" s="27">
        <f>[73]커버3!$G$13</f>
        <v>661</v>
      </c>
      <c r="J24" s="96">
        <f>[21]일반사항!$D$28</f>
        <v>25.45</v>
      </c>
    </row>
    <row r="25" spans="1:10" ht="20.100000000000001" customHeight="1">
      <c r="A25" s="25">
        <f>[74]일반사항!$B$4</f>
        <v>44430</v>
      </c>
      <c r="B25" s="16">
        <f>[74]일반사항!$E$28</f>
        <v>6.8949999999999996</v>
      </c>
      <c r="C25" s="45">
        <f>[74]실험기록부!$C$11</f>
        <v>1.2299999999999995</v>
      </c>
      <c r="D25" s="17">
        <f>[74]실험기록부!$D$11</f>
        <v>4.855628907372</v>
      </c>
      <c r="E25" s="18">
        <f>[74]실험기록부!$E$11</f>
        <v>1.6</v>
      </c>
      <c r="F25" s="19">
        <f>[74]실험기록부!$F$11</f>
        <v>4.008</v>
      </c>
      <c r="G25" s="19">
        <f>[74]실험기록부!$G$11</f>
        <v>6.4000000000000001E-2</v>
      </c>
      <c r="H25" s="20">
        <f>[74]실험기록부!$H$11</f>
        <v>6</v>
      </c>
      <c r="I25" s="27">
        <f>[75]커버3!$G$13</f>
        <v>592</v>
      </c>
      <c r="J25" s="96">
        <f>[22]일반사항!$D$28</f>
        <v>25.55</v>
      </c>
    </row>
    <row r="26" spans="1:10" ht="20.100000000000001" customHeight="1">
      <c r="A26" s="25">
        <f>[76]일반사항!$B$4</f>
        <v>44431</v>
      </c>
      <c r="B26" s="16">
        <f>[76]일반사항!$E$28</f>
        <v>6.8550000000000004</v>
      </c>
      <c r="C26" s="45">
        <f>[76]실험기록부!$C$11</f>
        <v>1.2699999999999996</v>
      </c>
      <c r="D26" s="17">
        <f>[76]실험기록부!$D$11</f>
        <v>5.5452357789280002</v>
      </c>
      <c r="E26" s="18">
        <f>[76]실험기록부!$E$11</f>
        <v>1.1999999999999886</v>
      </c>
      <c r="F26" s="19">
        <f>[76]실험기록부!$F$11</f>
        <v>5.8377599999999994</v>
      </c>
      <c r="G26" s="19">
        <f>[76]실험기록부!$G$11</f>
        <v>2.5440000000000001E-2</v>
      </c>
      <c r="H26" s="20">
        <f>[76]실험기록부!$H$11</f>
        <v>9</v>
      </c>
      <c r="I26" s="27">
        <f>[77]커버3!$G$13</f>
        <v>797</v>
      </c>
      <c r="J26" s="96">
        <f>[23]일반사항!$D$28</f>
        <v>25.6</v>
      </c>
    </row>
    <row r="27" spans="1:10" ht="20.100000000000001" customHeight="1">
      <c r="A27" s="25">
        <f>[78]일반사항!$B$4</f>
        <v>44432</v>
      </c>
      <c r="B27" s="16">
        <f>[78]일반사항!$E$28</f>
        <v>6.875</v>
      </c>
      <c r="C27" s="45">
        <f>[78]실험기록부!$C$11</f>
        <v>1.7200000000000006</v>
      </c>
      <c r="D27" s="17">
        <f>[78]실험기록부!$D$11</f>
        <v>1.9577213428</v>
      </c>
      <c r="E27" s="18">
        <f>[78]실험기록부!$E$11</f>
        <v>2.4000000000000052</v>
      </c>
      <c r="F27" s="19">
        <f>[78]실험기록부!$F$11</f>
        <v>5.7235200000000006</v>
      </c>
      <c r="G27" s="19">
        <f>[78]실험기록부!$G$11</f>
        <v>4.1375999999999996E-2</v>
      </c>
      <c r="H27" s="20">
        <f>[78]실험기록부!$H$11</f>
        <v>12</v>
      </c>
      <c r="I27" s="27">
        <f>[79]커버3!$G$13</f>
        <v>1001</v>
      </c>
      <c r="J27" s="96">
        <f>[24]일반사항!$D$28</f>
        <v>25.65</v>
      </c>
    </row>
    <row r="28" spans="1:10" ht="20.100000000000001" customHeight="1">
      <c r="A28" s="25">
        <f>[80]일반사항!$B$4</f>
        <v>44433</v>
      </c>
      <c r="B28" s="16">
        <f>[80]일반사항!$E$28</f>
        <v>6.9050000000000002</v>
      </c>
      <c r="C28" s="45">
        <f>[80]실험기록부!$C$11</f>
        <v>1.6000000000000005</v>
      </c>
      <c r="D28" s="17">
        <f>[80]실험기록부!$D$11</f>
        <v>2.0224503968419998</v>
      </c>
      <c r="E28" s="18">
        <f>[80]실험기록부!$E$11</f>
        <v>1.8000000000000114</v>
      </c>
      <c r="F28" s="19">
        <f>[80]실험기록부!$F$11</f>
        <v>5.5368000000000004</v>
      </c>
      <c r="G28" s="19">
        <f>[80]실험기록부!$G$11</f>
        <v>5.0112000000000004E-2</v>
      </c>
      <c r="H28" s="20">
        <f>[80]실험기록부!$H$11</f>
        <v>5</v>
      </c>
      <c r="I28" s="27">
        <f>[81]커버3!$G$13</f>
        <v>1038</v>
      </c>
      <c r="J28" s="96">
        <f>[25]일반사항!$D$28</f>
        <v>25.7</v>
      </c>
    </row>
    <row r="29" spans="1:10" ht="20.100000000000001" customHeight="1">
      <c r="A29" s="25">
        <f>[82]일반사항!$B$4</f>
        <v>44434</v>
      </c>
      <c r="B29" s="16">
        <f>[82]일반사항!$E$28</f>
        <v>6.8949999999999996</v>
      </c>
      <c r="C29" s="45">
        <f>[82]실험기록부!$C$11</f>
        <v>2.12</v>
      </c>
      <c r="D29" s="17">
        <f>[82]실험기록부!$D$11</f>
        <v>5.2837289759760004</v>
      </c>
      <c r="E29" s="18">
        <f>[82]실험기록부!$E$11</f>
        <v>1.2000000000000171</v>
      </c>
      <c r="F29" s="19">
        <f>[82]실험기록부!$F$11</f>
        <v>4.67136</v>
      </c>
      <c r="G29" s="19">
        <f>[82]실험기록부!$G$11</f>
        <v>8.6736000000000008E-2</v>
      </c>
      <c r="H29" s="20">
        <f>[82]실험기록부!$H$11</f>
        <v>2</v>
      </c>
      <c r="I29" s="27">
        <f>[83]커버3!$G$13</f>
        <v>1031</v>
      </c>
      <c r="J29" s="96">
        <f>[26]일반사항!$D$28</f>
        <v>25.85</v>
      </c>
    </row>
    <row r="30" spans="1:10" ht="20.100000000000001" customHeight="1">
      <c r="A30" s="25">
        <f>[84]일반사항!$B$4</f>
        <v>44435</v>
      </c>
      <c r="B30" s="16">
        <f>[84]일반사항!$E$28</f>
        <v>6.9050000000000002</v>
      </c>
      <c r="C30" s="45">
        <f>[84]실험기록부!$C$11</f>
        <v>1.2599999999999998</v>
      </c>
      <c r="D30" s="17">
        <f>[84]실험기록부!$D$11</f>
        <v>3.9966628245760001</v>
      </c>
      <c r="E30" s="18">
        <f>[84]실험기록부!$E$11</f>
        <v>1.2000000000000171</v>
      </c>
      <c r="F30" s="19">
        <f>[84]실험기록부!$F$11</f>
        <v>4.7073599999999995</v>
      </c>
      <c r="G30" s="19">
        <f>[84]실험기록부!$G$11</f>
        <v>8.7168000000000009E-2</v>
      </c>
      <c r="H30" s="20">
        <f>[84]실험기록부!$H$11</f>
        <v>7</v>
      </c>
      <c r="I30" s="27">
        <f>[85]커버3!$G$13</f>
        <v>1034</v>
      </c>
      <c r="J30" s="96">
        <f>[27]일반사항!$D$28</f>
        <v>25.75</v>
      </c>
    </row>
    <row r="31" spans="1:10" ht="20.100000000000001" customHeight="1">
      <c r="A31" s="25">
        <f>[86]일반사항!$B$4</f>
        <v>44436</v>
      </c>
      <c r="B31" s="16">
        <f>[86]일반사항!$E$28</f>
        <v>6.9450000000000003</v>
      </c>
      <c r="C31" s="45">
        <f>[86]실험기록부!$C$11</f>
        <v>2.17</v>
      </c>
      <c r="D31" s="17">
        <f>[86]실험기록부!$D$11</f>
        <v>4.9546337533599996</v>
      </c>
      <c r="E31" s="18">
        <f>[86]실험기록부!$E$11</f>
        <v>1.7</v>
      </c>
      <c r="F31" s="19">
        <f>[86]실험기록부!$F$11</f>
        <v>3.67</v>
      </c>
      <c r="G31" s="19">
        <f>[86]실험기록부!$G$11</f>
        <v>7.5999999999999998E-2</v>
      </c>
      <c r="H31" s="20">
        <f>[86]실험기록부!$H$11</f>
        <v>8.5</v>
      </c>
      <c r="I31" s="27">
        <f>[87]커버3!$G$13</f>
        <v>1025</v>
      </c>
      <c r="J31" s="96">
        <f>[28]일반사항!$D$28</f>
        <v>25.65</v>
      </c>
    </row>
    <row r="32" spans="1:10" ht="20.100000000000001" customHeight="1">
      <c r="A32" s="25">
        <f>[88]일반사항!$B$4</f>
        <v>44437</v>
      </c>
      <c r="B32" s="16">
        <f>[88]일반사항!$E$28</f>
        <v>6.9649999999999999</v>
      </c>
      <c r="C32" s="45">
        <f>[88]실험기록부!$C$11</f>
        <v>1.3899999999999997</v>
      </c>
      <c r="D32" s="17">
        <f>[88]실험기록부!$D$11</f>
        <v>5.0971470741919997</v>
      </c>
      <c r="E32" s="18">
        <f>[88]실험기록부!$E$11</f>
        <v>1.7</v>
      </c>
      <c r="F32" s="19">
        <f>[88]실험기록부!$F$11</f>
        <v>4.32</v>
      </c>
      <c r="G32" s="19">
        <f>[88]실험기록부!$G$11</f>
        <v>8.7999999999999995E-2</v>
      </c>
      <c r="H32" s="20">
        <f>[88]실험기록부!$H$11</f>
        <v>15</v>
      </c>
      <c r="I32" s="27">
        <f>[89]커버3!$G$13</f>
        <v>1020</v>
      </c>
      <c r="J32" s="96">
        <f>[29]일반사항!$D$28</f>
        <v>25.85</v>
      </c>
    </row>
    <row r="33" spans="1:10" ht="20.100000000000001" customHeight="1">
      <c r="A33" s="25">
        <f>[90]일반사항!$B$4</f>
        <v>44438</v>
      </c>
      <c r="B33" s="16">
        <f>[90]일반사항!$E$28</f>
        <v>6.8550000000000004</v>
      </c>
      <c r="C33" s="45">
        <f>[90]실험기록부!$C$11</f>
        <v>1.3000000000000007</v>
      </c>
      <c r="D33" s="17">
        <f>[90]실험기록부!$D$11</f>
        <v>6.0944677106440004</v>
      </c>
      <c r="E33" s="18">
        <f>[90]실험기록부!$E$11</f>
        <v>1.1999999999999886</v>
      </c>
      <c r="F33" s="19">
        <f>[90]실험기록부!$F$11</f>
        <v>4.1327999999999996</v>
      </c>
      <c r="G33" s="19">
        <f>[90]실험기록부!$G$11</f>
        <v>9.6624000000000002E-2</v>
      </c>
      <c r="H33" s="20">
        <f>[90]실험기록부!$H$11</f>
        <v>12</v>
      </c>
      <c r="I33" s="27">
        <f>[91]커버3!$G$13</f>
        <v>1030</v>
      </c>
      <c r="J33" s="96">
        <f>[30]일반사항!$D$28</f>
        <v>25.95</v>
      </c>
    </row>
    <row r="34" spans="1:10" ht="20.100000000000001" customHeight="1" thickBot="1">
      <c r="A34" s="28">
        <f>[92]일반사항!$B$4</f>
        <v>44439</v>
      </c>
      <c r="B34" s="29">
        <f>[92]일반사항!$E$28</f>
        <v>6.9450000000000003</v>
      </c>
      <c r="C34" s="46">
        <f>[92]실험기록부!$C$11</f>
        <v>1.54</v>
      </c>
      <c r="D34" s="30">
        <f>[92]실험기록부!$D$11</f>
        <v>5.1946104025119997</v>
      </c>
      <c r="E34" s="31">
        <f>[92]실험기록부!$E$11</f>
        <v>2.5999999999999948</v>
      </c>
      <c r="F34" s="32">
        <f>[92]실험기록부!$F$11</f>
        <v>4.9343999999999992</v>
      </c>
      <c r="G34" s="32">
        <f>[92]실험기록부!$G$11</f>
        <v>7.1327999999999989E-2</v>
      </c>
      <c r="H34" s="33">
        <f>[92]실험기록부!$H$11</f>
        <v>7</v>
      </c>
      <c r="I34" s="34">
        <f>[93]커버3!$G$13</f>
        <v>1015</v>
      </c>
      <c r="J34" s="96">
        <f>[31]일반사항!$D$28</f>
        <v>25.75</v>
      </c>
    </row>
    <row r="35" spans="1:10" ht="20.100000000000001" customHeight="1" thickTop="1">
      <c r="A35" s="15" t="s">
        <v>0</v>
      </c>
      <c r="B35" s="37">
        <f t="shared" ref="B35:I35" si="0">MAX(B4:B33)</f>
        <v>6.9649999999999999</v>
      </c>
      <c r="C35" s="35">
        <f t="shared" si="0"/>
        <v>2.2699999999999996</v>
      </c>
      <c r="D35" s="35">
        <f t="shared" si="0"/>
        <v>6.6006884472799996</v>
      </c>
      <c r="E35" s="35">
        <f t="shared" si="0"/>
        <v>2.5999999999999948</v>
      </c>
      <c r="F35" s="40">
        <f t="shared" si="0"/>
        <v>7.4428800000000006</v>
      </c>
      <c r="G35" s="40">
        <f t="shared" si="0"/>
        <v>9.6624000000000002E-2</v>
      </c>
      <c r="H35" s="81">
        <f t="shared" si="0"/>
        <v>15</v>
      </c>
      <c r="I35" s="84">
        <f t="shared" si="0"/>
        <v>1114</v>
      </c>
    </row>
    <row r="36" spans="1:10" ht="20.100000000000001" customHeight="1">
      <c r="A36" s="1" t="s">
        <v>1</v>
      </c>
      <c r="B36" s="38">
        <f t="shared" ref="B36:I36" si="1">MIN(B5:B33)</f>
        <v>6.8049999999999997</v>
      </c>
      <c r="C36" s="4">
        <f t="shared" si="1"/>
        <v>0.74999999999999911</v>
      </c>
      <c r="D36" s="4">
        <f t="shared" si="1"/>
        <v>1.9577213428</v>
      </c>
      <c r="E36" s="4">
        <f t="shared" si="1"/>
        <v>1.1999999999999886</v>
      </c>
      <c r="F36" s="41">
        <f t="shared" si="1"/>
        <v>3.5049999999999999</v>
      </c>
      <c r="G36" s="41">
        <f t="shared" si="1"/>
        <v>1.7616E-2</v>
      </c>
      <c r="H36" s="82">
        <f t="shared" si="1"/>
        <v>2</v>
      </c>
      <c r="I36" s="85">
        <f t="shared" si="1"/>
        <v>500</v>
      </c>
    </row>
    <row r="37" spans="1:10" ht="20.100000000000001" customHeight="1" thickBot="1">
      <c r="A37" s="2" t="s">
        <v>2</v>
      </c>
      <c r="B37" s="39">
        <f t="shared" ref="B37:I37" si="2">AVERAGE(B4:B33)</f>
        <v>6.8838333333333335</v>
      </c>
      <c r="C37" s="36">
        <f t="shared" si="2"/>
        <v>1.413</v>
      </c>
      <c r="D37" s="36">
        <f t="shared" si="2"/>
        <v>4.6564926971850022</v>
      </c>
      <c r="E37" s="36">
        <f t="shared" si="2"/>
        <v>1.8033333333333346</v>
      </c>
      <c r="F37" s="42">
        <f t="shared" si="2"/>
        <v>5.1292199999999992</v>
      </c>
      <c r="G37" s="42">
        <f t="shared" si="2"/>
        <v>5.3173600000000008E-2</v>
      </c>
      <c r="H37" s="83">
        <f t="shared" si="2"/>
        <v>8.4</v>
      </c>
      <c r="I37" s="86">
        <f t="shared" si="2"/>
        <v>764.0333333333333</v>
      </c>
      <c r="J37" s="61"/>
    </row>
  </sheetData>
  <mergeCells count="3">
    <mergeCell ref="A1:I1"/>
    <mergeCell ref="A2:A3"/>
    <mergeCell ref="B2:I2"/>
  </mergeCells>
  <phoneticPr fontId="1" type="noConversion"/>
  <printOptions horizontalCentered="1"/>
  <pageMargins left="0.39370078740157483" right="0.39370078740157483" top="0.59055118110236227" bottom="0.19685039370078741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3</vt:i4>
      </vt:variant>
    </vt:vector>
  </HeadingPairs>
  <TitlesOfParts>
    <vt:vector size="6" baseType="lpstr">
      <vt:lpstr>유입수</vt:lpstr>
      <vt:lpstr>유출수</vt:lpstr>
      <vt:lpstr>방류수</vt:lpstr>
      <vt:lpstr>방류수!Print_Area</vt:lpstr>
      <vt:lpstr>유입수!Print_Area</vt:lpstr>
      <vt:lpstr>유출수!Print_Area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win-7</cp:lastModifiedBy>
  <cp:lastPrinted>2021-07-02T07:31:37Z</cp:lastPrinted>
  <dcterms:created xsi:type="dcterms:W3CDTF">2012-04-09T23:45:26Z</dcterms:created>
  <dcterms:modified xsi:type="dcterms:W3CDTF">2021-09-09T00:19:29Z</dcterms:modified>
</cp:coreProperties>
</file>