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35\기술2팀\기술2팀\3.월보\2.공정\2021년\1.황간\"/>
    </mc:Choice>
  </mc:AlternateContent>
  <xr:revisionPtr revIDLastSave="0" documentId="13_ncr:1_{E608A1F2-722F-4219-872A-B5F6B87CBA9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유입수" sheetId="4" r:id="rId1"/>
    <sheet name="유출수" sheetId="10" r:id="rId2"/>
    <sheet name="방류수" sheetId="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</externalReferences>
  <definedNames>
    <definedName name="_xlnm.Print_Area" localSheetId="2">방류수!$A$1:$I$37</definedName>
    <definedName name="_xlnm.Print_Area" localSheetId="0">유입수!$A$1:$I$37</definedName>
    <definedName name="_xlnm.Print_Area" localSheetId="1">유출수!$A$1:$I$36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" i="9" l="1"/>
  <c r="H33" i="10"/>
  <c r="G33" i="10"/>
  <c r="F33" i="10"/>
  <c r="E33" i="10"/>
  <c r="D33" i="10"/>
  <c r="C33" i="10"/>
  <c r="B33" i="10"/>
  <c r="A33" i="10"/>
  <c r="H32" i="10"/>
  <c r="G32" i="10"/>
  <c r="F32" i="10"/>
  <c r="E32" i="10"/>
  <c r="D32" i="10"/>
  <c r="C32" i="10"/>
  <c r="B32" i="10"/>
  <c r="A32" i="10"/>
  <c r="H31" i="10"/>
  <c r="G31" i="10"/>
  <c r="F31" i="10"/>
  <c r="E31" i="10"/>
  <c r="D31" i="10"/>
  <c r="C31" i="10"/>
  <c r="B31" i="10"/>
  <c r="A31" i="10"/>
  <c r="H30" i="10"/>
  <c r="G30" i="10"/>
  <c r="F30" i="10"/>
  <c r="E30" i="10"/>
  <c r="D30" i="10"/>
  <c r="C30" i="10"/>
  <c r="B30" i="10"/>
  <c r="A30" i="10"/>
  <c r="H29" i="10"/>
  <c r="G29" i="10"/>
  <c r="F29" i="10"/>
  <c r="E29" i="10"/>
  <c r="D29" i="10"/>
  <c r="C29" i="10"/>
  <c r="B29" i="10"/>
  <c r="A29" i="10"/>
  <c r="H28" i="10"/>
  <c r="G28" i="10"/>
  <c r="F28" i="10"/>
  <c r="E28" i="10"/>
  <c r="D28" i="10"/>
  <c r="C28" i="10"/>
  <c r="B28" i="10"/>
  <c r="A28" i="10"/>
  <c r="H27" i="10"/>
  <c r="G27" i="10"/>
  <c r="F27" i="10"/>
  <c r="E27" i="10"/>
  <c r="D27" i="10"/>
  <c r="C27" i="10"/>
  <c r="B27" i="10"/>
  <c r="A27" i="10"/>
  <c r="H26" i="10"/>
  <c r="G26" i="10"/>
  <c r="F26" i="10"/>
  <c r="E26" i="10"/>
  <c r="D26" i="10"/>
  <c r="C26" i="10"/>
  <c r="B26" i="10"/>
  <c r="A26" i="10"/>
  <c r="H25" i="10"/>
  <c r="G25" i="10"/>
  <c r="F25" i="10"/>
  <c r="E25" i="10"/>
  <c r="D25" i="10"/>
  <c r="C25" i="10"/>
  <c r="B25" i="10"/>
  <c r="A25" i="10"/>
  <c r="H24" i="10"/>
  <c r="G24" i="10"/>
  <c r="F24" i="10"/>
  <c r="E24" i="10"/>
  <c r="D24" i="10"/>
  <c r="C24" i="10"/>
  <c r="B24" i="10"/>
  <c r="A24" i="10"/>
  <c r="H23" i="10"/>
  <c r="G23" i="10"/>
  <c r="F23" i="10"/>
  <c r="E23" i="10"/>
  <c r="D23" i="10"/>
  <c r="C23" i="10"/>
  <c r="B23" i="10"/>
  <c r="A23" i="10"/>
  <c r="H22" i="10"/>
  <c r="G22" i="10"/>
  <c r="F22" i="10"/>
  <c r="E22" i="10"/>
  <c r="D22" i="10"/>
  <c r="C22" i="10"/>
  <c r="B22" i="10"/>
  <c r="A22" i="10"/>
  <c r="H21" i="10"/>
  <c r="G21" i="10"/>
  <c r="F21" i="10"/>
  <c r="E21" i="10"/>
  <c r="D21" i="10"/>
  <c r="C21" i="10"/>
  <c r="B21" i="10"/>
  <c r="A21" i="10"/>
  <c r="H20" i="10"/>
  <c r="G20" i="10"/>
  <c r="F20" i="10"/>
  <c r="E20" i="10"/>
  <c r="D20" i="10"/>
  <c r="C20" i="10"/>
  <c r="B20" i="10"/>
  <c r="A20" i="10"/>
  <c r="H19" i="10"/>
  <c r="G19" i="10"/>
  <c r="F19" i="10"/>
  <c r="E19" i="10"/>
  <c r="D19" i="10"/>
  <c r="C19" i="10"/>
  <c r="B19" i="10"/>
  <c r="A19" i="10"/>
  <c r="H18" i="10"/>
  <c r="G18" i="10"/>
  <c r="F18" i="10"/>
  <c r="E18" i="10"/>
  <c r="D18" i="10"/>
  <c r="C18" i="10"/>
  <c r="B18" i="10"/>
  <c r="A18" i="10"/>
  <c r="H17" i="10"/>
  <c r="G17" i="10"/>
  <c r="F17" i="10"/>
  <c r="E17" i="10"/>
  <c r="D17" i="10"/>
  <c r="C17" i="10"/>
  <c r="B17" i="10"/>
  <c r="A17" i="10"/>
  <c r="H16" i="10"/>
  <c r="G16" i="10"/>
  <c r="F16" i="10"/>
  <c r="E16" i="10"/>
  <c r="D16" i="10"/>
  <c r="C16" i="10"/>
  <c r="B16" i="10"/>
  <c r="A16" i="10"/>
  <c r="H15" i="10"/>
  <c r="G15" i="10"/>
  <c r="F15" i="10"/>
  <c r="E15" i="10"/>
  <c r="D15" i="10"/>
  <c r="C15" i="10"/>
  <c r="B15" i="10"/>
  <c r="A15" i="10"/>
  <c r="H14" i="10"/>
  <c r="G14" i="10"/>
  <c r="F14" i="10"/>
  <c r="E14" i="10"/>
  <c r="D14" i="10"/>
  <c r="C14" i="10"/>
  <c r="B14" i="10"/>
  <c r="A14" i="10"/>
  <c r="H13" i="10"/>
  <c r="G13" i="10"/>
  <c r="F13" i="10"/>
  <c r="E13" i="10"/>
  <c r="D13" i="10"/>
  <c r="C13" i="10"/>
  <c r="B13" i="10"/>
  <c r="A13" i="10"/>
  <c r="H12" i="10"/>
  <c r="G12" i="10"/>
  <c r="F12" i="10"/>
  <c r="E12" i="10"/>
  <c r="D12" i="10"/>
  <c r="C12" i="10"/>
  <c r="B12" i="10"/>
  <c r="A12" i="10"/>
  <c r="H11" i="10"/>
  <c r="G11" i="10"/>
  <c r="F11" i="10"/>
  <c r="E11" i="10"/>
  <c r="D11" i="10"/>
  <c r="C11" i="10"/>
  <c r="B11" i="10"/>
  <c r="A11" i="10"/>
  <c r="H10" i="10"/>
  <c r="G10" i="10"/>
  <c r="F10" i="10"/>
  <c r="E10" i="10"/>
  <c r="D10" i="10"/>
  <c r="C10" i="10"/>
  <c r="B10" i="10"/>
  <c r="A10" i="10"/>
  <c r="H9" i="10"/>
  <c r="G9" i="10"/>
  <c r="F9" i="10"/>
  <c r="E9" i="10"/>
  <c r="D9" i="10"/>
  <c r="C9" i="10"/>
  <c r="B9" i="10"/>
  <c r="A9" i="10"/>
  <c r="H8" i="10"/>
  <c r="G8" i="10"/>
  <c r="F8" i="10"/>
  <c r="E8" i="10"/>
  <c r="D8" i="10"/>
  <c r="C8" i="10"/>
  <c r="B8" i="10"/>
  <c r="A8" i="10"/>
  <c r="H7" i="10"/>
  <c r="G7" i="10"/>
  <c r="F7" i="10"/>
  <c r="E7" i="10"/>
  <c r="D7" i="10"/>
  <c r="C7" i="10"/>
  <c r="B7" i="10"/>
  <c r="A7" i="10"/>
  <c r="H6" i="10"/>
  <c r="G6" i="10"/>
  <c r="F6" i="10"/>
  <c r="E6" i="10"/>
  <c r="D6" i="10"/>
  <c r="C6" i="10"/>
  <c r="B6" i="10"/>
  <c r="A6" i="10"/>
  <c r="H5" i="10"/>
  <c r="G5" i="10"/>
  <c r="F5" i="10"/>
  <c r="E5" i="10"/>
  <c r="D5" i="10"/>
  <c r="C5" i="10"/>
  <c r="B5" i="10"/>
  <c r="A5" i="10"/>
  <c r="H4" i="10"/>
  <c r="G4" i="10"/>
  <c r="F4" i="10"/>
  <c r="E4" i="10"/>
  <c r="D4" i="10"/>
  <c r="C4" i="10"/>
  <c r="B4" i="10"/>
  <c r="A4" i="10"/>
  <c r="I33" i="9"/>
  <c r="I32" i="9"/>
  <c r="I31" i="9"/>
  <c r="I30" i="9"/>
  <c r="I29" i="9"/>
  <c r="I28" i="9"/>
  <c r="I27" i="9"/>
  <c r="I26" i="9"/>
  <c r="I25" i="9"/>
  <c r="I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I9" i="9"/>
  <c r="I8" i="9"/>
  <c r="I7" i="9"/>
  <c r="I6" i="9"/>
  <c r="I5" i="9"/>
  <c r="I4" i="9"/>
  <c r="J33" i="4"/>
  <c r="I33" i="4"/>
  <c r="H33" i="4"/>
  <c r="G33" i="4"/>
  <c r="F33" i="4"/>
  <c r="E33" i="4"/>
  <c r="D33" i="4"/>
  <c r="C33" i="4"/>
  <c r="B33" i="4"/>
  <c r="A33" i="4"/>
  <c r="J32" i="4"/>
  <c r="I32" i="4"/>
  <c r="H32" i="4"/>
  <c r="G32" i="4"/>
  <c r="F32" i="4"/>
  <c r="E32" i="4"/>
  <c r="D32" i="4"/>
  <c r="C32" i="4"/>
  <c r="B32" i="4"/>
  <c r="A32" i="4"/>
  <c r="J31" i="4"/>
  <c r="I31" i="4"/>
  <c r="H31" i="4"/>
  <c r="G31" i="4"/>
  <c r="F31" i="4"/>
  <c r="E31" i="4"/>
  <c r="D31" i="4"/>
  <c r="C31" i="4"/>
  <c r="B31" i="4"/>
  <c r="A31" i="4"/>
  <c r="J30" i="4"/>
  <c r="I30" i="4"/>
  <c r="H30" i="4"/>
  <c r="G30" i="4"/>
  <c r="F30" i="4"/>
  <c r="E30" i="4"/>
  <c r="D30" i="4"/>
  <c r="C30" i="4"/>
  <c r="B30" i="4"/>
  <c r="A30" i="4"/>
  <c r="J29" i="4"/>
  <c r="I29" i="4"/>
  <c r="H29" i="4"/>
  <c r="G29" i="4"/>
  <c r="F29" i="4"/>
  <c r="E29" i="4"/>
  <c r="D29" i="4"/>
  <c r="C29" i="4"/>
  <c r="B29" i="4"/>
  <c r="A29" i="4"/>
  <c r="J28" i="4"/>
  <c r="I28" i="4"/>
  <c r="H28" i="4"/>
  <c r="G28" i="4"/>
  <c r="F28" i="4"/>
  <c r="E28" i="4"/>
  <c r="D28" i="4"/>
  <c r="C28" i="4"/>
  <c r="B28" i="4"/>
  <c r="A28" i="4"/>
  <c r="J27" i="4"/>
  <c r="I27" i="4"/>
  <c r="H27" i="4"/>
  <c r="G27" i="4"/>
  <c r="F27" i="4"/>
  <c r="E27" i="4"/>
  <c r="D27" i="4"/>
  <c r="C27" i="4"/>
  <c r="B27" i="4"/>
  <c r="A27" i="4"/>
  <c r="J26" i="4"/>
  <c r="I26" i="4"/>
  <c r="H26" i="4"/>
  <c r="G26" i="4"/>
  <c r="F26" i="4"/>
  <c r="E26" i="4"/>
  <c r="D26" i="4"/>
  <c r="C26" i="4"/>
  <c r="B26" i="4"/>
  <c r="A26" i="4"/>
  <c r="J25" i="4"/>
  <c r="I25" i="4"/>
  <c r="H25" i="4"/>
  <c r="G25" i="4"/>
  <c r="F25" i="4"/>
  <c r="E25" i="4"/>
  <c r="D25" i="4"/>
  <c r="C25" i="4"/>
  <c r="B25" i="4"/>
  <c r="A25" i="4"/>
  <c r="J24" i="4"/>
  <c r="I24" i="4"/>
  <c r="H24" i="4"/>
  <c r="G24" i="4"/>
  <c r="F24" i="4"/>
  <c r="E24" i="4"/>
  <c r="D24" i="4"/>
  <c r="C24" i="4"/>
  <c r="B24" i="4"/>
  <c r="A24" i="4"/>
  <c r="J23" i="4"/>
  <c r="I23" i="4"/>
  <c r="H23" i="4"/>
  <c r="G23" i="4"/>
  <c r="F23" i="4"/>
  <c r="E23" i="4"/>
  <c r="D23" i="4"/>
  <c r="C23" i="4"/>
  <c r="B23" i="4"/>
  <c r="A23" i="4"/>
  <c r="J22" i="4"/>
  <c r="I22" i="4"/>
  <c r="H22" i="4"/>
  <c r="G22" i="4"/>
  <c r="F22" i="4"/>
  <c r="E22" i="4"/>
  <c r="D22" i="4"/>
  <c r="C22" i="4"/>
  <c r="B22" i="4"/>
  <c r="A22" i="4"/>
  <c r="J21" i="4"/>
  <c r="I21" i="4"/>
  <c r="H21" i="4"/>
  <c r="G21" i="4"/>
  <c r="F21" i="4"/>
  <c r="E21" i="4"/>
  <c r="D21" i="4"/>
  <c r="C21" i="4"/>
  <c r="B21" i="4"/>
  <c r="A21" i="4"/>
  <c r="J20" i="4"/>
  <c r="I20" i="4"/>
  <c r="H20" i="4"/>
  <c r="G20" i="4"/>
  <c r="F20" i="4"/>
  <c r="E20" i="4"/>
  <c r="D20" i="4"/>
  <c r="C20" i="4"/>
  <c r="B20" i="4"/>
  <c r="A20" i="4"/>
  <c r="J19" i="4"/>
  <c r="I19" i="4"/>
  <c r="H19" i="4"/>
  <c r="G19" i="4"/>
  <c r="F19" i="4"/>
  <c r="E19" i="4"/>
  <c r="D19" i="4"/>
  <c r="C19" i="4"/>
  <c r="B19" i="4"/>
  <c r="A19" i="4"/>
  <c r="J18" i="4"/>
  <c r="I18" i="4"/>
  <c r="H18" i="4"/>
  <c r="G18" i="4"/>
  <c r="F18" i="4"/>
  <c r="E18" i="4"/>
  <c r="D18" i="4"/>
  <c r="C18" i="4"/>
  <c r="B18" i="4"/>
  <c r="A18" i="4"/>
  <c r="J17" i="4"/>
  <c r="I17" i="4"/>
  <c r="H17" i="4"/>
  <c r="G17" i="4"/>
  <c r="F17" i="4"/>
  <c r="E17" i="4"/>
  <c r="D17" i="4"/>
  <c r="C17" i="4"/>
  <c r="B17" i="4"/>
  <c r="A17" i="4"/>
  <c r="J16" i="4"/>
  <c r="I16" i="4"/>
  <c r="H16" i="4"/>
  <c r="G16" i="4"/>
  <c r="F16" i="4"/>
  <c r="E16" i="4"/>
  <c r="D16" i="4"/>
  <c r="C16" i="4"/>
  <c r="B16" i="4"/>
  <c r="A16" i="4"/>
  <c r="J15" i="4"/>
  <c r="I15" i="4"/>
  <c r="H15" i="4"/>
  <c r="G15" i="4"/>
  <c r="F15" i="4"/>
  <c r="E15" i="4"/>
  <c r="D15" i="4"/>
  <c r="C15" i="4"/>
  <c r="B15" i="4"/>
  <c r="A15" i="4"/>
  <c r="J14" i="4"/>
  <c r="I14" i="4"/>
  <c r="H14" i="4"/>
  <c r="G14" i="4"/>
  <c r="F14" i="4"/>
  <c r="E14" i="4"/>
  <c r="D14" i="4"/>
  <c r="C14" i="4"/>
  <c r="B14" i="4"/>
  <c r="A14" i="4"/>
  <c r="J13" i="4"/>
  <c r="I13" i="4"/>
  <c r="H13" i="4"/>
  <c r="G13" i="4"/>
  <c r="F13" i="4"/>
  <c r="E13" i="4"/>
  <c r="D13" i="4"/>
  <c r="C13" i="4"/>
  <c r="B13" i="4"/>
  <c r="A13" i="4"/>
  <c r="J12" i="4"/>
  <c r="I12" i="4"/>
  <c r="H12" i="4"/>
  <c r="G12" i="4"/>
  <c r="F12" i="4"/>
  <c r="E12" i="4"/>
  <c r="D12" i="4"/>
  <c r="C12" i="4"/>
  <c r="B12" i="4"/>
  <c r="A12" i="4"/>
  <c r="J11" i="4"/>
  <c r="I11" i="4"/>
  <c r="H11" i="4"/>
  <c r="G11" i="4"/>
  <c r="F11" i="4"/>
  <c r="E11" i="4"/>
  <c r="D11" i="4"/>
  <c r="C11" i="4"/>
  <c r="B11" i="4"/>
  <c r="A11" i="4"/>
  <c r="J10" i="4"/>
  <c r="I10" i="4"/>
  <c r="H10" i="4"/>
  <c r="G10" i="4"/>
  <c r="F10" i="4"/>
  <c r="E10" i="4"/>
  <c r="D10" i="4"/>
  <c r="C10" i="4"/>
  <c r="B10" i="4"/>
  <c r="A10" i="4"/>
  <c r="J9" i="4"/>
  <c r="I9" i="4"/>
  <c r="H9" i="4"/>
  <c r="G9" i="4"/>
  <c r="F9" i="4"/>
  <c r="E9" i="4"/>
  <c r="D9" i="4"/>
  <c r="C9" i="4"/>
  <c r="B9" i="4"/>
  <c r="A9" i="4"/>
  <c r="J8" i="4"/>
  <c r="I8" i="4"/>
  <c r="H8" i="4"/>
  <c r="G8" i="4"/>
  <c r="F8" i="4"/>
  <c r="E8" i="4"/>
  <c r="D8" i="4"/>
  <c r="C8" i="4"/>
  <c r="B8" i="4"/>
  <c r="A8" i="4"/>
  <c r="J7" i="4"/>
  <c r="I7" i="4"/>
  <c r="H7" i="4"/>
  <c r="G7" i="4"/>
  <c r="F7" i="4"/>
  <c r="E7" i="4"/>
  <c r="D7" i="4"/>
  <c r="C7" i="4"/>
  <c r="B7" i="4"/>
  <c r="A7" i="4"/>
  <c r="J6" i="4"/>
  <c r="I6" i="4"/>
  <c r="H6" i="4"/>
  <c r="G6" i="4"/>
  <c r="F6" i="4"/>
  <c r="E6" i="4"/>
  <c r="D6" i="4"/>
  <c r="C6" i="4"/>
  <c r="B6" i="4"/>
  <c r="A6" i="4"/>
  <c r="J5" i="4"/>
  <c r="I5" i="4"/>
  <c r="H5" i="4"/>
  <c r="G5" i="4"/>
  <c r="F5" i="4"/>
  <c r="E5" i="4"/>
  <c r="D5" i="4"/>
  <c r="C5" i="4"/>
  <c r="B5" i="4"/>
  <c r="A5" i="4"/>
  <c r="J4" i="4"/>
  <c r="I4" i="4"/>
  <c r="H4" i="4"/>
  <c r="G4" i="4"/>
  <c r="F4" i="4"/>
  <c r="E4" i="4"/>
  <c r="D4" i="4"/>
  <c r="C4" i="4"/>
  <c r="B4" i="4"/>
  <c r="A4" i="4"/>
  <c r="J33" i="9" l="1"/>
  <c r="H33" i="9"/>
  <c r="G33" i="9"/>
  <c r="F33" i="9"/>
  <c r="E33" i="9"/>
  <c r="D33" i="9"/>
  <c r="C33" i="9"/>
  <c r="B33" i="9"/>
  <c r="A33" i="9"/>
  <c r="J32" i="9"/>
  <c r="H32" i="9"/>
  <c r="G32" i="9"/>
  <c r="F32" i="9"/>
  <c r="E32" i="9"/>
  <c r="D32" i="9"/>
  <c r="C32" i="9"/>
  <c r="B32" i="9"/>
  <c r="A32" i="9"/>
  <c r="J31" i="9"/>
  <c r="H31" i="9"/>
  <c r="F31" i="9"/>
  <c r="E31" i="9"/>
  <c r="D31" i="9"/>
  <c r="C31" i="9"/>
  <c r="B31" i="9"/>
  <c r="A31" i="9"/>
  <c r="J30" i="9"/>
  <c r="H30" i="9"/>
  <c r="G30" i="9"/>
  <c r="F30" i="9"/>
  <c r="E30" i="9"/>
  <c r="D30" i="9"/>
  <c r="C30" i="9"/>
  <c r="B30" i="9"/>
  <c r="A30" i="9"/>
  <c r="J29" i="9"/>
  <c r="H29" i="9"/>
  <c r="G29" i="9"/>
  <c r="F29" i="9"/>
  <c r="E29" i="9"/>
  <c r="D29" i="9"/>
  <c r="C29" i="9"/>
  <c r="B29" i="9"/>
  <c r="A29" i="9"/>
  <c r="J28" i="9"/>
  <c r="H28" i="9"/>
  <c r="G28" i="9"/>
  <c r="F28" i="9"/>
  <c r="E28" i="9"/>
  <c r="D28" i="9"/>
  <c r="C28" i="9"/>
  <c r="B28" i="9"/>
  <c r="A28" i="9"/>
  <c r="J27" i="9"/>
  <c r="H27" i="9"/>
  <c r="G27" i="9"/>
  <c r="F27" i="9"/>
  <c r="E27" i="9"/>
  <c r="D27" i="9"/>
  <c r="C27" i="9"/>
  <c r="B27" i="9"/>
  <c r="A27" i="9"/>
  <c r="J26" i="9"/>
  <c r="H26" i="9"/>
  <c r="G26" i="9"/>
  <c r="F26" i="9"/>
  <c r="E26" i="9"/>
  <c r="D26" i="9"/>
  <c r="C26" i="9"/>
  <c r="B26" i="9"/>
  <c r="A26" i="9"/>
  <c r="J25" i="9"/>
  <c r="H25" i="9"/>
  <c r="G25" i="9"/>
  <c r="F25" i="9"/>
  <c r="E25" i="9"/>
  <c r="D25" i="9"/>
  <c r="C25" i="9"/>
  <c r="B25" i="9"/>
  <c r="A25" i="9"/>
  <c r="J24" i="9"/>
  <c r="H24" i="9"/>
  <c r="G24" i="9"/>
  <c r="F24" i="9"/>
  <c r="E24" i="9"/>
  <c r="D24" i="9"/>
  <c r="C24" i="9"/>
  <c r="B24" i="9"/>
  <c r="A24" i="9"/>
  <c r="J23" i="9"/>
  <c r="H23" i="9"/>
  <c r="G23" i="9"/>
  <c r="F23" i="9"/>
  <c r="E23" i="9"/>
  <c r="D23" i="9"/>
  <c r="C23" i="9"/>
  <c r="B23" i="9"/>
  <c r="A23" i="9"/>
  <c r="J22" i="9"/>
  <c r="H22" i="9"/>
  <c r="G22" i="9"/>
  <c r="F22" i="9"/>
  <c r="E22" i="9"/>
  <c r="D22" i="9"/>
  <c r="C22" i="9"/>
  <c r="B22" i="9"/>
  <c r="A22" i="9"/>
  <c r="J21" i="9"/>
  <c r="H21" i="9"/>
  <c r="G21" i="9"/>
  <c r="F21" i="9"/>
  <c r="E21" i="9"/>
  <c r="D21" i="9"/>
  <c r="C21" i="9"/>
  <c r="B21" i="9"/>
  <c r="A21" i="9"/>
  <c r="J20" i="9"/>
  <c r="H20" i="9"/>
  <c r="G20" i="9"/>
  <c r="F20" i="9"/>
  <c r="E20" i="9"/>
  <c r="D20" i="9"/>
  <c r="C20" i="9"/>
  <c r="B20" i="9"/>
  <c r="A20" i="9"/>
  <c r="J19" i="9"/>
  <c r="H19" i="9"/>
  <c r="G19" i="9"/>
  <c r="F19" i="9"/>
  <c r="E19" i="9"/>
  <c r="D19" i="9"/>
  <c r="C19" i="9"/>
  <c r="B19" i="9"/>
  <c r="A19" i="9"/>
  <c r="J18" i="9"/>
  <c r="H18" i="9"/>
  <c r="G18" i="9"/>
  <c r="F18" i="9"/>
  <c r="E18" i="9"/>
  <c r="D18" i="9"/>
  <c r="C18" i="9"/>
  <c r="B18" i="9"/>
  <c r="A18" i="9"/>
  <c r="J17" i="9"/>
  <c r="H17" i="9"/>
  <c r="G17" i="9"/>
  <c r="F17" i="9"/>
  <c r="E17" i="9"/>
  <c r="D17" i="9"/>
  <c r="C17" i="9"/>
  <c r="B17" i="9"/>
  <c r="A17" i="9"/>
  <c r="J16" i="9"/>
  <c r="H16" i="9"/>
  <c r="G16" i="9"/>
  <c r="F16" i="9"/>
  <c r="E16" i="9"/>
  <c r="D16" i="9"/>
  <c r="C16" i="9"/>
  <c r="B16" i="9"/>
  <c r="A16" i="9"/>
  <c r="J15" i="9"/>
  <c r="H15" i="9"/>
  <c r="G15" i="9"/>
  <c r="F15" i="9"/>
  <c r="E15" i="9"/>
  <c r="D15" i="9"/>
  <c r="C15" i="9"/>
  <c r="B15" i="9"/>
  <c r="A15" i="9"/>
  <c r="J14" i="9"/>
  <c r="H14" i="9"/>
  <c r="G14" i="9"/>
  <c r="F14" i="9"/>
  <c r="E14" i="9"/>
  <c r="D14" i="9"/>
  <c r="C14" i="9"/>
  <c r="B14" i="9"/>
  <c r="A14" i="9"/>
  <c r="J13" i="9"/>
  <c r="H13" i="9"/>
  <c r="G13" i="9"/>
  <c r="F13" i="9"/>
  <c r="E13" i="9"/>
  <c r="D13" i="9"/>
  <c r="C13" i="9"/>
  <c r="B13" i="9"/>
  <c r="A13" i="9"/>
  <c r="J12" i="9"/>
  <c r="H12" i="9"/>
  <c r="G12" i="9"/>
  <c r="F12" i="9"/>
  <c r="E12" i="9"/>
  <c r="D12" i="9"/>
  <c r="C12" i="9"/>
  <c r="B12" i="9"/>
  <c r="A12" i="9"/>
  <c r="J11" i="9"/>
  <c r="H11" i="9"/>
  <c r="G11" i="9"/>
  <c r="F11" i="9"/>
  <c r="E11" i="9"/>
  <c r="D11" i="9"/>
  <c r="C11" i="9"/>
  <c r="B11" i="9"/>
  <c r="A11" i="9"/>
  <c r="J10" i="9"/>
  <c r="H10" i="9"/>
  <c r="G10" i="9"/>
  <c r="F10" i="9"/>
  <c r="E10" i="9"/>
  <c r="D10" i="9"/>
  <c r="C10" i="9"/>
  <c r="B10" i="9"/>
  <c r="A10" i="9"/>
  <c r="J9" i="9"/>
  <c r="H9" i="9"/>
  <c r="G9" i="9"/>
  <c r="F9" i="9"/>
  <c r="E9" i="9"/>
  <c r="D9" i="9"/>
  <c r="C9" i="9"/>
  <c r="B9" i="9"/>
  <c r="A9" i="9"/>
  <c r="J8" i="9"/>
  <c r="H8" i="9"/>
  <c r="G8" i="9"/>
  <c r="F8" i="9"/>
  <c r="E8" i="9"/>
  <c r="D8" i="9"/>
  <c r="C8" i="9"/>
  <c r="B8" i="9"/>
  <c r="A8" i="9"/>
  <c r="J7" i="9"/>
  <c r="H7" i="9"/>
  <c r="G7" i="9"/>
  <c r="F7" i="9"/>
  <c r="E7" i="9"/>
  <c r="D7" i="9"/>
  <c r="C7" i="9"/>
  <c r="B7" i="9"/>
  <c r="A7" i="9"/>
  <c r="J6" i="9"/>
  <c r="H6" i="9"/>
  <c r="G6" i="9"/>
  <c r="F6" i="9"/>
  <c r="E6" i="9"/>
  <c r="D6" i="9"/>
  <c r="C6" i="9"/>
  <c r="B6" i="9"/>
  <c r="A6" i="9"/>
  <c r="J5" i="9"/>
  <c r="H5" i="9"/>
  <c r="G5" i="9"/>
  <c r="F5" i="9"/>
  <c r="E5" i="9"/>
  <c r="D5" i="9"/>
  <c r="C5" i="9"/>
  <c r="B5" i="9"/>
  <c r="A5" i="9"/>
  <c r="J4" i="9"/>
  <c r="H4" i="9"/>
  <c r="G4" i="9"/>
  <c r="F4" i="9"/>
  <c r="E4" i="9"/>
  <c r="D4" i="9"/>
  <c r="C4" i="9"/>
  <c r="B4" i="9"/>
  <c r="A4" i="9"/>
  <c r="I36" i="4" l="1"/>
  <c r="I35" i="4"/>
  <c r="I37" i="4" l="1"/>
  <c r="I35" i="9"/>
  <c r="I36" i="9"/>
  <c r="I37" i="9"/>
  <c r="K13" i="10"/>
  <c r="K14" i="10"/>
  <c r="K27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4" i="10"/>
  <c r="K28" i="10"/>
  <c r="K21" i="10"/>
  <c r="K20" i="10"/>
  <c r="K12" i="10"/>
  <c r="Q33" i="10" l="1"/>
  <c r="P33" i="10"/>
  <c r="O33" i="10"/>
  <c r="N33" i="10"/>
  <c r="M33" i="10"/>
  <c r="L33" i="10"/>
  <c r="K33" i="10"/>
  <c r="Q32" i="10"/>
  <c r="P32" i="10"/>
  <c r="O32" i="10"/>
  <c r="N32" i="10"/>
  <c r="M32" i="10"/>
  <c r="L32" i="10"/>
  <c r="K32" i="10"/>
  <c r="Q31" i="10"/>
  <c r="P31" i="10"/>
  <c r="O31" i="10"/>
  <c r="N31" i="10"/>
  <c r="M31" i="10"/>
  <c r="L31" i="10"/>
  <c r="K31" i="10"/>
  <c r="Q30" i="10"/>
  <c r="P30" i="10"/>
  <c r="O30" i="10"/>
  <c r="N30" i="10"/>
  <c r="M30" i="10"/>
  <c r="L30" i="10"/>
  <c r="K30" i="10"/>
  <c r="Q29" i="10"/>
  <c r="P29" i="10"/>
  <c r="O29" i="10"/>
  <c r="N29" i="10"/>
  <c r="M29" i="10"/>
  <c r="L29" i="10"/>
  <c r="K29" i="10"/>
  <c r="Q28" i="10"/>
  <c r="P28" i="10"/>
  <c r="O28" i="10"/>
  <c r="N28" i="10"/>
  <c r="M28" i="10"/>
  <c r="L28" i="10"/>
  <c r="Q27" i="10"/>
  <c r="P27" i="10"/>
  <c r="O27" i="10"/>
  <c r="N27" i="10"/>
  <c r="M27" i="10"/>
  <c r="L27" i="10"/>
  <c r="Q26" i="10"/>
  <c r="P26" i="10"/>
  <c r="O26" i="10"/>
  <c r="N26" i="10"/>
  <c r="M26" i="10"/>
  <c r="L26" i="10"/>
  <c r="K26" i="10"/>
  <c r="Q25" i="10"/>
  <c r="P25" i="10"/>
  <c r="O25" i="10"/>
  <c r="N25" i="10"/>
  <c r="M25" i="10"/>
  <c r="L25" i="10"/>
  <c r="K25" i="10"/>
  <c r="Q24" i="10"/>
  <c r="P24" i="10"/>
  <c r="O24" i="10"/>
  <c r="N24" i="10"/>
  <c r="M24" i="10"/>
  <c r="L24" i="10"/>
  <c r="K24" i="10"/>
  <c r="Q23" i="10"/>
  <c r="P23" i="10"/>
  <c r="O23" i="10"/>
  <c r="N23" i="10"/>
  <c r="M23" i="10"/>
  <c r="L23" i="10"/>
  <c r="K23" i="10"/>
  <c r="Q22" i="10"/>
  <c r="P22" i="10"/>
  <c r="O22" i="10"/>
  <c r="N22" i="10"/>
  <c r="M22" i="10"/>
  <c r="L22" i="10"/>
  <c r="K22" i="10"/>
  <c r="Q21" i="10"/>
  <c r="P21" i="10"/>
  <c r="O21" i="10"/>
  <c r="N21" i="10"/>
  <c r="M21" i="10"/>
  <c r="L21" i="10"/>
  <c r="Q20" i="10"/>
  <c r="P20" i="10"/>
  <c r="O20" i="10"/>
  <c r="N20" i="10"/>
  <c r="M20" i="10"/>
  <c r="L20" i="10"/>
  <c r="Q19" i="10"/>
  <c r="P19" i="10"/>
  <c r="O19" i="10"/>
  <c r="N19" i="10"/>
  <c r="M19" i="10"/>
  <c r="L19" i="10"/>
  <c r="K19" i="10"/>
  <c r="Q18" i="10"/>
  <c r="P18" i="10"/>
  <c r="O18" i="10"/>
  <c r="N18" i="10"/>
  <c r="M18" i="10"/>
  <c r="L18" i="10"/>
  <c r="K18" i="10"/>
  <c r="Q17" i="10"/>
  <c r="P17" i="10"/>
  <c r="O17" i="10"/>
  <c r="N17" i="10"/>
  <c r="M17" i="10"/>
  <c r="L17" i="10"/>
  <c r="K17" i="10"/>
  <c r="Q16" i="10"/>
  <c r="P16" i="10"/>
  <c r="O16" i="10"/>
  <c r="N16" i="10"/>
  <c r="M16" i="10"/>
  <c r="L16" i="10"/>
  <c r="K16" i="10"/>
  <c r="Q15" i="10"/>
  <c r="P15" i="10"/>
  <c r="O15" i="10"/>
  <c r="N15" i="10"/>
  <c r="M15" i="10"/>
  <c r="L15" i="10"/>
  <c r="K15" i="10"/>
  <c r="Q14" i="10"/>
  <c r="P14" i="10"/>
  <c r="O14" i="10"/>
  <c r="N14" i="10"/>
  <c r="M14" i="10"/>
  <c r="L14" i="10"/>
  <c r="Q13" i="10"/>
  <c r="P13" i="10"/>
  <c r="O13" i="10"/>
  <c r="N13" i="10"/>
  <c r="M13" i="10"/>
  <c r="L13" i="10"/>
  <c r="Q12" i="10"/>
  <c r="P12" i="10"/>
  <c r="O12" i="10"/>
  <c r="N12" i="10"/>
  <c r="M12" i="10"/>
  <c r="L12" i="10"/>
  <c r="Q11" i="10"/>
  <c r="P11" i="10"/>
  <c r="O11" i="10"/>
  <c r="N11" i="10"/>
  <c r="M11" i="10"/>
  <c r="L11" i="10"/>
  <c r="K11" i="10"/>
  <c r="Q10" i="10"/>
  <c r="P10" i="10"/>
  <c r="O10" i="10"/>
  <c r="N10" i="10"/>
  <c r="M10" i="10"/>
  <c r="L10" i="10"/>
  <c r="K10" i="10"/>
  <c r="Q9" i="10"/>
  <c r="P9" i="10"/>
  <c r="O9" i="10"/>
  <c r="N9" i="10"/>
  <c r="M9" i="10"/>
  <c r="L9" i="10"/>
  <c r="K9" i="10"/>
  <c r="Q8" i="10"/>
  <c r="P8" i="10"/>
  <c r="O8" i="10"/>
  <c r="N8" i="10"/>
  <c r="M8" i="10"/>
  <c r="L8" i="10"/>
  <c r="K8" i="10"/>
  <c r="Q7" i="10"/>
  <c r="P7" i="10"/>
  <c r="O7" i="10"/>
  <c r="N7" i="10"/>
  <c r="M7" i="10"/>
  <c r="L7" i="10"/>
  <c r="K7" i="10"/>
  <c r="Q6" i="10"/>
  <c r="P6" i="10"/>
  <c r="O6" i="10"/>
  <c r="N6" i="10"/>
  <c r="M6" i="10"/>
  <c r="L6" i="10"/>
  <c r="K6" i="10"/>
  <c r="Q5" i="10"/>
  <c r="P5" i="10"/>
  <c r="O5" i="10"/>
  <c r="N5" i="10"/>
  <c r="M5" i="10"/>
  <c r="L5" i="10"/>
  <c r="K5" i="10"/>
  <c r="Q4" i="10"/>
  <c r="P4" i="10"/>
  <c r="O4" i="10"/>
  <c r="N4" i="10"/>
  <c r="M4" i="10"/>
  <c r="L4" i="10"/>
  <c r="K4" i="10"/>
  <c r="F36" i="4"/>
  <c r="B36" i="4"/>
  <c r="F35" i="10" l="1"/>
  <c r="C35" i="10"/>
  <c r="B35" i="10"/>
  <c r="H35" i="10"/>
  <c r="G35" i="10"/>
  <c r="D35" i="10"/>
  <c r="E35" i="10"/>
  <c r="C37" i="4"/>
  <c r="C35" i="4"/>
  <c r="G37" i="4"/>
  <c r="G35" i="4"/>
  <c r="D35" i="4"/>
  <c r="D37" i="4"/>
  <c r="H35" i="4"/>
  <c r="H37" i="4"/>
  <c r="C36" i="4"/>
  <c r="G36" i="4"/>
  <c r="E35" i="4"/>
  <c r="E37" i="4"/>
  <c r="D36" i="4"/>
  <c r="H36" i="4"/>
  <c r="E36" i="9"/>
  <c r="B37" i="4"/>
  <c r="B35" i="4"/>
  <c r="F37" i="4"/>
  <c r="F35" i="4"/>
  <c r="E36" i="4"/>
  <c r="G35" i="9"/>
  <c r="G37" i="9"/>
  <c r="B36" i="9"/>
  <c r="D37" i="9"/>
  <c r="D35" i="9"/>
  <c r="H37" i="9"/>
  <c r="H35" i="9"/>
  <c r="C36" i="9"/>
  <c r="G36" i="9"/>
  <c r="H36" i="9"/>
  <c r="B35" i="9"/>
  <c r="B37" i="9"/>
  <c r="F37" i="9"/>
  <c r="F35" i="9"/>
  <c r="C35" i="9"/>
  <c r="C37" i="9"/>
  <c r="F36" i="9"/>
  <c r="E35" i="9"/>
  <c r="E37" i="9"/>
  <c r="D36" i="9"/>
  <c r="D36" i="10"/>
  <c r="D34" i="10"/>
  <c r="E34" i="10"/>
  <c r="E36" i="10"/>
  <c r="H36" i="10"/>
  <c r="H34" i="10"/>
  <c r="B34" i="10"/>
  <c r="B36" i="10"/>
  <c r="F34" i="10"/>
  <c r="F36" i="10"/>
  <c r="C34" i="10"/>
  <c r="C36" i="10"/>
  <c r="G34" i="10"/>
  <c r="G36" i="10"/>
  <c r="J37" i="4" l="1"/>
</calcChain>
</file>

<file path=xl/sharedStrings.xml><?xml version="1.0" encoding="utf-8"?>
<sst xmlns="http://schemas.openxmlformats.org/spreadsheetml/2006/main" count="50" uniqueCount="27">
  <si>
    <t>최대값</t>
    <phoneticPr fontId="1" type="noConversion"/>
  </si>
  <si>
    <t>최소값</t>
    <phoneticPr fontId="1" type="noConversion"/>
  </si>
  <si>
    <t>평균</t>
    <phoneticPr fontId="1" type="noConversion"/>
  </si>
  <si>
    <t>PH</t>
    <phoneticPr fontId="1" type="noConversion"/>
  </si>
  <si>
    <t>BOD</t>
    <phoneticPr fontId="1" type="noConversion"/>
  </si>
  <si>
    <t>SS</t>
    <phoneticPr fontId="1" type="noConversion"/>
  </si>
  <si>
    <t>T-N</t>
    <phoneticPr fontId="1" type="noConversion"/>
  </si>
  <si>
    <t>T-P</t>
    <phoneticPr fontId="1" type="noConversion"/>
  </si>
  <si>
    <t>대장균군수</t>
    <phoneticPr fontId="1" type="noConversion"/>
  </si>
  <si>
    <t>방류량</t>
    <phoneticPr fontId="1" type="noConversion"/>
  </si>
  <si>
    <t>방류수 수질(㎎/ℓ)</t>
    <phoneticPr fontId="1" type="noConversion"/>
  </si>
  <si>
    <t>유입량</t>
    <phoneticPr fontId="1" type="noConversion"/>
  </si>
  <si>
    <t>유입수 수질(㎎/ℓ)</t>
    <phoneticPr fontId="1" type="noConversion"/>
  </si>
  <si>
    <t>총인 유입수 수질(㎎/ℓ)</t>
    <phoneticPr fontId="1" type="noConversion"/>
  </si>
  <si>
    <t xml:space="preserve">        구분
 날짜</t>
    <phoneticPr fontId="1" type="noConversion"/>
  </si>
  <si>
    <t>일.xlsx]COD'!$K$34</t>
    <phoneticPr fontId="1" type="noConversion"/>
  </si>
  <si>
    <t>일.xlsx]SS'!$K$28</t>
  </si>
  <si>
    <t>일.xlsx]TN'!$H$28</t>
  </si>
  <si>
    <t>일.xlsx]TP'!$H$28</t>
  </si>
  <si>
    <t>일.xlsx]총대장균'!$J$28</t>
    <phoneticPr fontId="1" type="noConversion"/>
  </si>
  <si>
    <t>일.xlsx]일반사항'!$C$26</t>
    <phoneticPr fontId="1" type="noConversion"/>
  </si>
  <si>
    <t>비고</t>
    <phoneticPr fontId="1" type="noConversion"/>
  </si>
  <si>
    <t>수온</t>
    <phoneticPr fontId="1" type="noConversion"/>
  </si>
  <si>
    <t>TOC</t>
    <phoneticPr fontId="1" type="noConversion"/>
  </si>
  <si>
    <t>■ 황간공공하수처리시설 월보 (9월) - 방류수</t>
    <phoneticPr fontId="1" type="noConversion"/>
  </si>
  <si>
    <t>■ 황간공공하수처리시설 월보 (9월) - 유입수</t>
  </si>
  <si>
    <t>■ 황간공공하수처리시설 월보 (9월) - 총인유입수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</si>
</sst>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-* #,##0_-;\-* #,##0_-;_-* &quot;-&quot;_-;_-@_-"/>
    <numFmt numFmtId="43" formatCode="_-* #,##0.00_-;\-* #,##0.00_-;_-* &quot;-&quot;??_-;_-@_-"/>
    <numFmt numFmtId="176" formatCode="mm&quot;월&quot;\ dd&quot;일&quot;"/>
    <numFmt numFmtId="177" formatCode="#,##0_ "/>
    <numFmt numFmtId="178" formatCode="0.00_ "/>
    <numFmt numFmtId="179" formatCode="0.0_);[Red]\(0.0\)"/>
    <numFmt numFmtId="180" formatCode="0.000_);[Red]\(0.000\)"/>
    <numFmt numFmtId="181" formatCode="0.00_);[Red]\(0.00\)"/>
    <numFmt numFmtId="182" formatCode="0.0"/>
    <numFmt numFmtId="183" formatCode="_-* #,##0.000_-;\-* #,##0.000_-;_-* &quot;-&quot;???_-;_-@_-"/>
    <numFmt numFmtId="184" formatCode="_-* #,##0.0_-;\-* #,##0.0_-;_-* &quot;-&quot;?_-;_-@_-"/>
    <numFmt numFmtId="185" formatCode="_-* #,##0_-;\-* #,##0_-;_-* &quot;-&quot;??_-;_-@_-"/>
    <numFmt numFmtId="186" formatCode="0_);[Red]\(0\)"/>
    <numFmt numFmtId="187" formatCode="#,##0_);[Red]\(#,##0\)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b/>
      <sz val="12"/>
      <color theme="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/>
      <diagonal style="hair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/>
      <bottom style="double">
        <color auto="1"/>
      </bottom>
      <diagonal style="hair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2" xfId="0" applyNumberFormat="1" applyBorder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2" fillId="0" borderId="15" xfId="0" applyNumberFormat="1" applyFont="1" applyBorder="1" applyAlignment="1">
      <alignment horizontal="center" vertical="center"/>
    </xf>
    <xf numFmtId="179" fontId="2" fillId="0" borderId="15" xfId="0" applyNumberFormat="1" applyFont="1" applyBorder="1" applyAlignment="1">
      <alignment horizontal="center" vertical="center"/>
    </xf>
    <xf numFmtId="180" fontId="2" fillId="0" borderId="15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77" fontId="2" fillId="0" borderId="15" xfId="0" applyNumberFormat="1" applyFont="1" applyBorder="1" applyAlignment="1">
      <alignment horizontal="center" vertical="center"/>
    </xf>
    <xf numFmtId="180" fontId="0" fillId="0" borderId="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81" fontId="8" fillId="0" borderId="2" xfId="1" applyNumberFormat="1" applyFont="1" applyFill="1" applyBorder="1" applyAlignment="1">
      <alignment horizontal="center" vertical="center" shrinkToFit="1"/>
    </xf>
    <xf numFmtId="179" fontId="8" fillId="0" borderId="2" xfId="1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center" vertical="center"/>
    </xf>
    <xf numFmtId="180" fontId="8" fillId="0" borderId="2" xfId="1" applyNumberFormat="1" applyFont="1" applyFill="1" applyBorder="1" applyAlignment="1">
      <alignment horizontal="center" vertical="center" shrinkToFit="1"/>
    </xf>
    <xf numFmtId="177" fontId="0" fillId="0" borderId="2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9" fontId="7" fillId="0" borderId="7" xfId="0" applyNumberFormat="1" applyFont="1" applyFill="1" applyBorder="1" applyAlignment="1">
      <alignment horizontal="center" vertical="center"/>
    </xf>
    <xf numFmtId="180" fontId="8" fillId="0" borderId="7" xfId="1" applyNumberFormat="1" applyFont="1" applyFill="1" applyBorder="1" applyAlignment="1">
      <alignment horizontal="center" vertical="center" shrinkToFit="1"/>
    </xf>
    <xf numFmtId="177" fontId="0" fillId="0" borderId="7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82" fontId="9" fillId="0" borderId="11" xfId="0" applyNumberFormat="1" applyFont="1" applyFill="1" applyBorder="1" applyAlignment="1">
      <alignment horizontal="center" vertical="center" shrinkToFit="1"/>
    </xf>
    <xf numFmtId="182" fontId="9" fillId="0" borderId="3" xfId="0" applyNumberFormat="1" applyFont="1" applyFill="1" applyBorder="1" applyAlignment="1">
      <alignment horizontal="center" vertical="center" shrinkToFit="1"/>
    </xf>
    <xf numFmtId="176" fontId="0" fillId="0" borderId="19" xfId="0" applyNumberFormat="1" applyFill="1" applyBorder="1" applyAlignment="1">
      <alignment horizontal="center" vertical="center"/>
    </xf>
    <xf numFmtId="181" fontId="8" fillId="0" borderId="15" xfId="1" applyNumberFormat="1" applyFont="1" applyFill="1" applyBorder="1" applyAlignment="1">
      <alignment horizontal="center" vertical="center" shrinkToFit="1"/>
    </xf>
    <xf numFmtId="179" fontId="8" fillId="0" borderId="15" xfId="1" applyNumberFormat="1" applyFont="1" applyFill="1" applyBorder="1" applyAlignment="1">
      <alignment horizontal="center" vertical="center" shrinkToFit="1"/>
    </xf>
    <xf numFmtId="179" fontId="7" fillId="0" borderId="15" xfId="0" applyNumberFormat="1" applyFont="1" applyFill="1" applyBorder="1" applyAlignment="1">
      <alignment horizontal="center" vertical="center"/>
    </xf>
    <xf numFmtId="180" fontId="8" fillId="0" borderId="15" xfId="1" applyNumberFormat="1" applyFont="1" applyFill="1" applyBorder="1" applyAlignment="1">
      <alignment horizontal="center" vertical="center" shrinkToFit="1"/>
    </xf>
    <xf numFmtId="177" fontId="0" fillId="0" borderId="15" xfId="0" applyNumberFormat="1" applyFill="1" applyBorder="1" applyAlignment="1">
      <alignment horizontal="center" vertical="center"/>
    </xf>
    <xf numFmtId="182" fontId="9" fillId="0" borderId="16" xfId="0" applyNumberFormat="1" applyFont="1" applyFill="1" applyBorder="1" applyAlignment="1">
      <alignment horizontal="center" vertical="center" shrinkToFit="1"/>
    </xf>
    <xf numFmtId="179" fontId="0" fillId="0" borderId="18" xfId="0" applyNumberFormat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181" fontId="0" fillId="0" borderId="18" xfId="0" applyNumberFormat="1" applyBorder="1" applyAlignment="1">
      <alignment horizontal="center" vertical="center"/>
    </xf>
    <xf numFmtId="181" fontId="0" fillId="0" borderId="2" xfId="0" applyNumberFormat="1" applyBorder="1" applyAlignment="1">
      <alignment horizontal="center" vertical="center"/>
    </xf>
    <xf numFmtId="181" fontId="0" fillId="0" borderId="5" xfId="0" applyNumberFormat="1" applyBorder="1" applyAlignment="1">
      <alignment horizontal="center" vertical="center"/>
    </xf>
    <xf numFmtId="180" fontId="0" fillId="0" borderId="18" xfId="0" applyNumberForma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179" fontId="0" fillId="2" borderId="0" xfId="0" applyNumberFormat="1" applyFill="1">
      <alignment vertical="center"/>
    </xf>
    <xf numFmtId="179" fontId="2" fillId="3" borderId="15" xfId="0" applyNumberFormat="1" applyFont="1" applyFill="1" applyBorder="1" applyAlignment="1">
      <alignment horizontal="center" vertical="center"/>
    </xf>
    <xf numFmtId="179" fontId="8" fillId="3" borderId="2" xfId="1" applyNumberFormat="1" applyFont="1" applyFill="1" applyBorder="1" applyAlignment="1">
      <alignment horizontal="center" vertical="center" shrinkToFit="1"/>
    </xf>
    <xf numFmtId="179" fontId="8" fillId="3" borderId="15" xfId="1" applyNumberFormat="1" applyFont="1" applyFill="1" applyBorder="1" applyAlignment="1">
      <alignment horizontal="center" vertical="center" shrinkToFit="1"/>
    </xf>
    <xf numFmtId="41" fontId="0" fillId="0" borderId="2" xfId="0" applyNumberFormat="1" applyFill="1" applyBorder="1" applyAlignment="1">
      <alignment horizontal="center" vertical="center"/>
    </xf>
    <xf numFmtId="183" fontId="8" fillId="0" borderId="2" xfId="1" applyNumberFormat="1" applyFont="1" applyFill="1" applyBorder="1" applyAlignment="1">
      <alignment horizontal="center" vertical="center" shrinkToFit="1"/>
    </xf>
    <xf numFmtId="183" fontId="8" fillId="0" borderId="15" xfId="1" applyNumberFormat="1" applyFont="1" applyFill="1" applyBorder="1" applyAlignment="1">
      <alignment horizontal="center" vertical="center" shrinkToFit="1"/>
    </xf>
    <xf numFmtId="41" fontId="0" fillId="0" borderId="15" xfId="0" applyNumberFormat="1" applyFill="1" applyBorder="1" applyAlignment="1">
      <alignment horizontal="center" vertical="center"/>
    </xf>
    <xf numFmtId="184" fontId="8" fillId="3" borderId="2" xfId="1" applyNumberFormat="1" applyFont="1" applyFill="1" applyBorder="1" applyAlignment="1">
      <alignment horizontal="center" vertical="center" shrinkToFit="1"/>
    </xf>
    <xf numFmtId="184" fontId="8" fillId="0" borderId="2" xfId="1" applyNumberFormat="1" applyFont="1" applyFill="1" applyBorder="1" applyAlignment="1">
      <alignment horizontal="center" vertical="center" shrinkToFit="1"/>
    </xf>
    <xf numFmtId="184" fontId="7" fillId="0" borderId="2" xfId="0" applyNumberFormat="1" applyFont="1" applyFill="1" applyBorder="1" applyAlignment="1">
      <alignment horizontal="center" vertical="center"/>
    </xf>
    <xf numFmtId="184" fontId="8" fillId="3" borderId="15" xfId="1" applyNumberFormat="1" applyFont="1" applyFill="1" applyBorder="1" applyAlignment="1">
      <alignment horizontal="center" vertical="center" shrinkToFit="1"/>
    </xf>
    <xf numFmtId="184" fontId="8" fillId="0" borderId="15" xfId="1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/>
    </xf>
    <xf numFmtId="43" fontId="8" fillId="0" borderId="7" xfId="1" applyNumberFormat="1" applyFont="1" applyFill="1" applyBorder="1" applyAlignment="1">
      <alignment horizontal="center" vertical="center" shrinkToFit="1"/>
    </xf>
    <xf numFmtId="43" fontId="8" fillId="0" borderId="2" xfId="1" applyNumberFormat="1" applyFont="1" applyFill="1" applyBorder="1" applyAlignment="1">
      <alignment horizontal="center" vertical="center" shrinkToFit="1"/>
    </xf>
    <xf numFmtId="43" fontId="8" fillId="0" borderId="15" xfId="1" applyNumberFormat="1" applyFont="1" applyFill="1" applyBorder="1" applyAlignment="1">
      <alignment horizontal="center" vertical="center" shrinkToFit="1"/>
    </xf>
    <xf numFmtId="185" fontId="0" fillId="0" borderId="0" xfId="0" applyNumberFormat="1">
      <alignment vertical="center"/>
    </xf>
    <xf numFmtId="178" fontId="0" fillId="0" borderId="0" xfId="0" applyNumberFormat="1" applyFill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0" xfId="0" applyBorder="1">
      <alignment vertical="center"/>
    </xf>
    <xf numFmtId="0" fontId="0" fillId="0" borderId="24" xfId="0" applyBorder="1">
      <alignment vertical="center"/>
    </xf>
    <xf numFmtId="43" fontId="0" fillId="0" borderId="18" xfId="0" applyNumberFormat="1" applyFill="1" applyBorder="1" applyAlignment="1">
      <alignment horizontal="center" vertical="center"/>
    </xf>
    <xf numFmtId="184" fontId="0" fillId="0" borderId="18" xfId="0" applyNumberFormat="1" applyFill="1" applyBorder="1" applyAlignment="1">
      <alignment horizontal="center" vertical="center"/>
    </xf>
    <xf numFmtId="183" fontId="0" fillId="0" borderId="18" xfId="0" applyNumberFormat="1" applyFill="1" applyBorder="1" applyAlignment="1">
      <alignment horizontal="center" vertical="center"/>
    </xf>
    <xf numFmtId="41" fontId="0" fillId="0" borderId="18" xfId="0" applyNumberFormat="1" applyFill="1" applyBorder="1" applyAlignment="1">
      <alignment horizontal="center" vertical="center"/>
    </xf>
    <xf numFmtId="43" fontId="0" fillId="0" borderId="2" xfId="0" applyNumberFormat="1" applyFill="1" applyBorder="1" applyAlignment="1">
      <alignment horizontal="center" vertical="center"/>
    </xf>
    <xf numFmtId="184" fontId="0" fillId="0" borderId="2" xfId="0" applyNumberFormat="1" applyFill="1" applyBorder="1" applyAlignment="1">
      <alignment horizontal="center" vertical="center"/>
    </xf>
    <xf numFmtId="183" fontId="0" fillId="0" borderId="2" xfId="0" applyNumberFormat="1" applyFill="1" applyBorder="1" applyAlignment="1">
      <alignment horizontal="center" vertical="center"/>
    </xf>
    <xf numFmtId="43" fontId="0" fillId="0" borderId="5" xfId="0" applyNumberFormat="1" applyFill="1" applyBorder="1" applyAlignment="1">
      <alignment horizontal="center" vertical="center"/>
    </xf>
    <xf numFmtId="184" fontId="0" fillId="0" borderId="5" xfId="0" applyNumberFormat="1" applyFill="1" applyBorder="1" applyAlignment="1">
      <alignment horizontal="center" vertical="center"/>
    </xf>
    <xf numFmtId="183" fontId="0" fillId="0" borderId="5" xfId="0" applyNumberFormat="1" applyFill="1" applyBorder="1" applyAlignment="1">
      <alignment horizontal="center" vertical="center"/>
    </xf>
    <xf numFmtId="41" fontId="0" fillId="0" borderId="5" xfId="0" applyNumberFormat="1" applyFill="1" applyBorder="1" applyAlignment="1">
      <alignment horizontal="center" vertical="center"/>
    </xf>
    <xf numFmtId="182" fontId="0" fillId="0" borderId="3" xfId="0" applyNumberFormat="1" applyBorder="1" applyAlignment="1">
      <alignment horizontal="center" vertical="center"/>
    </xf>
    <xf numFmtId="182" fontId="0" fillId="0" borderId="25" xfId="0" applyNumberFormat="1" applyBorder="1" applyAlignment="1">
      <alignment horizontal="center" vertical="center"/>
    </xf>
    <xf numFmtId="186" fontId="0" fillId="0" borderId="18" xfId="0" applyNumberFormat="1" applyBorder="1" applyAlignment="1">
      <alignment horizontal="center" vertical="center"/>
    </xf>
    <xf numFmtId="186" fontId="0" fillId="0" borderId="2" xfId="0" applyNumberFormat="1" applyBorder="1" applyAlignment="1">
      <alignment horizontal="center" vertical="center"/>
    </xf>
    <xf numFmtId="186" fontId="0" fillId="0" borderId="5" xfId="0" applyNumberFormat="1" applyBorder="1" applyAlignment="1">
      <alignment horizontal="center" vertical="center"/>
    </xf>
    <xf numFmtId="179" fontId="0" fillId="0" borderId="26" xfId="0" applyNumberFormat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79" fontId="0" fillId="0" borderId="25" xfId="0" applyNumberFormat="1" applyBorder="1" applyAlignment="1">
      <alignment horizontal="center" vertical="center"/>
    </xf>
    <xf numFmtId="182" fontId="0" fillId="0" borderId="26" xfId="0" applyNumberFormat="1" applyBorder="1" applyAlignment="1">
      <alignment horizontal="center" vertical="center"/>
    </xf>
    <xf numFmtId="181" fontId="8" fillId="0" borderId="7" xfId="1" applyNumberFormat="1" applyFont="1" applyFill="1" applyBorder="1" applyAlignment="1">
      <alignment horizontal="center" vertical="center" shrinkToFit="1"/>
    </xf>
    <xf numFmtId="179" fontId="8" fillId="3" borderId="7" xfId="1" applyNumberFormat="1" applyFont="1" applyFill="1" applyBorder="1" applyAlignment="1">
      <alignment horizontal="center" vertical="center" shrinkToFit="1"/>
    </xf>
    <xf numFmtId="179" fontId="8" fillId="0" borderId="7" xfId="1" applyNumberFormat="1" applyFont="1" applyFill="1" applyBorder="1" applyAlignment="1">
      <alignment horizontal="center" vertical="center" shrinkToFit="1"/>
    </xf>
    <xf numFmtId="184" fontId="8" fillId="3" borderId="7" xfId="1" applyNumberFormat="1" applyFont="1" applyFill="1" applyBorder="1" applyAlignment="1">
      <alignment horizontal="center" vertical="center" shrinkToFit="1"/>
    </xf>
    <xf numFmtId="184" fontId="8" fillId="0" borderId="7" xfId="1" applyNumberFormat="1" applyFont="1" applyFill="1" applyBorder="1" applyAlignment="1">
      <alignment horizontal="center" vertical="center" shrinkToFit="1"/>
    </xf>
    <xf numFmtId="184" fontId="7" fillId="0" borderId="7" xfId="0" applyNumberFormat="1" applyFont="1" applyFill="1" applyBorder="1" applyAlignment="1">
      <alignment horizontal="center" vertical="center"/>
    </xf>
    <xf numFmtId="183" fontId="8" fillId="0" borderId="7" xfId="1" applyNumberFormat="1" applyFont="1" applyFill="1" applyBorder="1" applyAlignment="1">
      <alignment horizontal="center" vertical="center" shrinkToFit="1"/>
    </xf>
    <xf numFmtId="41" fontId="0" fillId="0" borderId="7" xfId="0" applyNumberFormat="1" applyFill="1" applyBorder="1" applyAlignment="1">
      <alignment horizontal="center" vertical="center"/>
    </xf>
    <xf numFmtId="179" fontId="8" fillId="0" borderId="0" xfId="1" applyNumberFormat="1" applyFont="1" applyFill="1" applyBorder="1" applyAlignment="1">
      <alignment horizontal="center" vertical="center" shrinkToFit="1"/>
    </xf>
    <xf numFmtId="187" fontId="0" fillId="0" borderId="18" xfId="0" applyNumberFormat="1" applyBorder="1" applyAlignment="1">
      <alignment horizontal="center" vertical="center"/>
    </xf>
    <xf numFmtId="187" fontId="0" fillId="0" borderId="2" xfId="0" applyNumberFormat="1" applyBorder="1" applyAlignment="1">
      <alignment horizontal="center" vertical="center"/>
    </xf>
    <xf numFmtId="187" fontId="0" fillId="0" borderId="5" xfId="0" applyNumberFormat="1" applyBorder="1" applyAlignment="1">
      <alignment horizontal="center" vertical="center"/>
    </xf>
    <xf numFmtId="176" fontId="0" fillId="0" borderId="27" xfId="0" applyNumberFormat="1" applyFill="1" applyBorder="1" applyAlignment="1">
      <alignment horizontal="center" vertical="center"/>
    </xf>
    <xf numFmtId="181" fontId="8" fillId="0" borderId="18" xfId="1" applyNumberFormat="1" applyFont="1" applyFill="1" applyBorder="1" applyAlignment="1">
      <alignment horizontal="center" vertical="center" shrinkToFit="1"/>
    </xf>
    <xf numFmtId="179" fontId="8" fillId="3" borderId="18" xfId="1" applyNumberFormat="1" applyFont="1" applyFill="1" applyBorder="1" applyAlignment="1">
      <alignment horizontal="center" vertical="center" shrinkToFit="1"/>
    </xf>
    <xf numFmtId="179" fontId="8" fillId="0" borderId="18" xfId="1" applyNumberFormat="1" applyFont="1" applyFill="1" applyBorder="1" applyAlignment="1">
      <alignment horizontal="center" vertical="center" shrinkToFit="1"/>
    </xf>
    <xf numFmtId="179" fontId="7" fillId="0" borderId="18" xfId="0" applyNumberFormat="1" applyFont="1" applyFill="1" applyBorder="1" applyAlignment="1">
      <alignment horizontal="center" vertical="center"/>
    </xf>
    <xf numFmtId="180" fontId="8" fillId="0" borderId="18" xfId="1" applyNumberFormat="1" applyFont="1" applyFill="1" applyBorder="1" applyAlignment="1">
      <alignment horizontal="center" vertical="center" shrinkToFit="1"/>
    </xf>
    <xf numFmtId="177" fontId="0" fillId="0" borderId="18" xfId="0" applyNumberFormat="1" applyFill="1" applyBorder="1" applyAlignment="1">
      <alignment horizontal="center" vertical="center"/>
    </xf>
    <xf numFmtId="182" fontId="9" fillId="0" borderId="26" xfId="0" applyNumberFormat="1" applyFont="1" applyFill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쉼표 [0] 2" xfId="2" xr:uid="{00000000-0005-0000-0000-000000000000}"/>
    <cellStyle name="표준" xfId="0" builtinId="0"/>
    <cellStyle name="표준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61" Type="http://schemas.openxmlformats.org/officeDocument/2006/relationships/externalLink" Target="externalLinks/externalLink58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theme" Target="theme/theme1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calcChain" Target="calcChain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1&#5106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5&#5106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6&#51068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6&#510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7&#51068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7&#5106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8&#51068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8&#5106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9&#51068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9&#5106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10&#510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1&#51068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10&#5106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11&#51068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11&#510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12&#51068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12&#5106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13&#51068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13&#5106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14&#51068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14&#510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15&#5106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2&#51068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15&#51068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16&#51068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16&#5106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17&#51068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17&#51068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18&#51068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18&#5106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19&#51068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19&#5106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20&#5106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2&#5106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20&#5106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21&#51068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21&#51068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22&#51068;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22&#5106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23&#51068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23&#51068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24&#51068;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24&#51068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25&#5106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3&#51068;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25&#51068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26&#51068;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26&#51068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27&#51068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27&#51068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28&#51068;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28&#51068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29&#51068;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29&#51068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30&#5106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3&#51068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30&#5106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4&#51068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9&#50900;/4&#5106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9&#50900;/5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44440</v>
          </cell>
        </row>
        <row r="26">
          <cell r="D26">
            <v>22.05</v>
          </cell>
          <cell r="E26">
            <v>7.42</v>
          </cell>
        </row>
        <row r="27">
          <cell r="E27">
            <v>6.9450000000000003</v>
          </cell>
        </row>
        <row r="28">
          <cell r="D28">
            <v>22.15</v>
          </cell>
          <cell r="E28">
            <v>6.9050000000000002</v>
          </cell>
        </row>
      </sheetData>
      <sheetData sheetId="1">
        <row r="9">
          <cell r="C9">
            <v>169.87499999999997</v>
          </cell>
          <cell r="D9">
            <v>28.779371413768001</v>
          </cell>
          <cell r="E9">
            <v>133.33333333333334</v>
          </cell>
          <cell r="F9">
            <v>25.756800000000002</v>
          </cell>
          <cell r="G9">
            <v>3.9201600000000005</v>
          </cell>
          <cell r="H9">
            <v>160000</v>
          </cell>
        </row>
        <row r="10">
          <cell r="C10">
            <v>16.14</v>
          </cell>
          <cell r="D10">
            <v>7.9731087071499998</v>
          </cell>
          <cell r="E10">
            <v>18</v>
          </cell>
          <cell r="F10">
            <v>2.90448</v>
          </cell>
          <cell r="G10">
            <v>0.45417600000000002</v>
          </cell>
          <cell r="H10">
            <v>690</v>
          </cell>
        </row>
        <row r="11">
          <cell r="C11">
            <v>1.0300000000000002</v>
          </cell>
          <cell r="D11">
            <v>5.9214711642999998</v>
          </cell>
          <cell r="E11">
            <v>1.8000000000000114</v>
          </cell>
          <cell r="F11">
            <v>4.5451199999999998</v>
          </cell>
          <cell r="G11">
            <v>5.2607999999999995E-2</v>
          </cell>
          <cell r="H11">
            <v>5.5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692</v>
          </cell>
        </row>
        <row r="13">
          <cell r="G13">
            <v>708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44445</v>
          </cell>
        </row>
        <row r="26">
          <cell r="D26">
            <v>21.6</v>
          </cell>
          <cell r="E26">
            <v>7.375</v>
          </cell>
        </row>
        <row r="27">
          <cell r="E27">
            <v>6.93</v>
          </cell>
        </row>
        <row r="28">
          <cell r="D28">
            <v>21.7</v>
          </cell>
          <cell r="E28">
            <v>6.8849999999999998</v>
          </cell>
        </row>
      </sheetData>
      <sheetData sheetId="1">
        <row r="9">
          <cell r="C9">
            <v>196.875</v>
          </cell>
          <cell r="D9">
            <v>49.184205844482001</v>
          </cell>
          <cell r="E9">
            <v>213.33333333333351</v>
          </cell>
          <cell r="F9">
            <v>25.255199999999999</v>
          </cell>
          <cell r="G9">
            <v>3.2961599999999995</v>
          </cell>
          <cell r="H9">
            <v>200000</v>
          </cell>
        </row>
        <row r="10">
          <cell r="C10">
            <v>16.02</v>
          </cell>
          <cell r="D10">
            <v>9.7816697796619998</v>
          </cell>
          <cell r="E10">
            <v>17.199999999999989</v>
          </cell>
          <cell r="F10">
            <v>6.4257599999999995</v>
          </cell>
          <cell r="G10">
            <v>0.37478400000000001</v>
          </cell>
          <cell r="H10">
            <v>900</v>
          </cell>
        </row>
        <row r="11">
          <cell r="C11">
            <v>1.5100000000000007</v>
          </cell>
          <cell r="D11">
            <v>4.4594952244080002</v>
          </cell>
          <cell r="E11">
            <v>1.1999999999999886</v>
          </cell>
          <cell r="F11">
            <v>7.1049599999999984</v>
          </cell>
          <cell r="G11">
            <v>4.958400000000001E-2</v>
          </cell>
          <cell r="H11">
            <v>3.5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719</v>
          </cell>
        </row>
        <row r="13">
          <cell r="G13">
            <v>756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44446</v>
          </cell>
        </row>
        <row r="26">
          <cell r="D26">
            <v>21.25</v>
          </cell>
          <cell r="E26">
            <v>7.5299999999999994</v>
          </cell>
        </row>
        <row r="27">
          <cell r="E27">
            <v>6.9050000000000002</v>
          </cell>
        </row>
        <row r="28">
          <cell r="D28">
            <v>21.4</v>
          </cell>
          <cell r="E28">
            <v>6.8550000000000004</v>
          </cell>
        </row>
      </sheetData>
      <sheetData sheetId="1">
        <row r="9">
          <cell r="C9">
            <v>168.375</v>
          </cell>
          <cell r="D9">
            <v>51.955047346672004</v>
          </cell>
          <cell r="E9">
            <v>153.33333333333314</v>
          </cell>
          <cell r="F9">
            <v>36.009600000000006</v>
          </cell>
          <cell r="G9">
            <v>3.1483200000000005</v>
          </cell>
          <cell r="H9">
            <v>150000</v>
          </cell>
        </row>
        <row r="10">
          <cell r="C10">
            <v>14.46</v>
          </cell>
          <cell r="D10">
            <v>17.642053774731998</v>
          </cell>
          <cell r="E10">
            <v>13.600000000000021</v>
          </cell>
          <cell r="F10">
            <v>7.8921599999999987</v>
          </cell>
          <cell r="G10">
            <v>0.38068800000000008</v>
          </cell>
          <cell r="H10">
            <v>630</v>
          </cell>
        </row>
        <row r="11">
          <cell r="C11">
            <v>1.2800000000000002</v>
          </cell>
          <cell r="D11">
            <v>4.8532820618320001</v>
          </cell>
          <cell r="E11">
            <v>1.6000000000000227</v>
          </cell>
          <cell r="F11">
            <v>8.0361600000000006</v>
          </cell>
          <cell r="G11">
            <v>4.0944000000000001E-2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835</v>
          </cell>
        </row>
        <row r="13">
          <cell r="G13">
            <v>931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44447</v>
          </cell>
        </row>
        <row r="26">
          <cell r="D26">
            <v>22.55</v>
          </cell>
          <cell r="E26">
            <v>7.2649999999999997</v>
          </cell>
        </row>
        <row r="27">
          <cell r="E27">
            <v>6.8949999999999996</v>
          </cell>
        </row>
        <row r="28">
          <cell r="D28">
            <v>22.8</v>
          </cell>
          <cell r="E28">
            <v>6.875</v>
          </cell>
        </row>
      </sheetData>
      <sheetData sheetId="1">
        <row r="9">
          <cell r="C9">
            <v>175.87500000000003</v>
          </cell>
          <cell r="D9">
            <v>37.661274339484002</v>
          </cell>
          <cell r="E9">
            <v>126.66666666666657</v>
          </cell>
          <cell r="F9">
            <v>45.758399999999995</v>
          </cell>
          <cell r="G9">
            <v>3.27312</v>
          </cell>
          <cell r="H9">
            <v>180000</v>
          </cell>
        </row>
        <row r="10">
          <cell r="C10">
            <v>13.680000000000001</v>
          </cell>
          <cell r="D10">
            <v>14.620572190820001</v>
          </cell>
          <cell r="E10">
            <v>20.800000000000011</v>
          </cell>
          <cell r="F10">
            <v>8.0654399999999988</v>
          </cell>
          <cell r="G10">
            <v>0.23932799999999996</v>
          </cell>
          <cell r="H10">
            <v>580</v>
          </cell>
        </row>
        <row r="11">
          <cell r="C11">
            <v>1.6000000000000005</v>
          </cell>
          <cell r="D11">
            <v>3.67546559595</v>
          </cell>
          <cell r="E11">
            <v>1.5999999999999943</v>
          </cell>
          <cell r="F11">
            <v>7.4337600000000013</v>
          </cell>
          <cell r="G11">
            <v>8.6736000000000008E-2</v>
          </cell>
          <cell r="H11">
            <v>13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845</v>
          </cell>
        </row>
        <row r="13">
          <cell r="G13">
            <v>1019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44448</v>
          </cell>
        </row>
        <row r="26">
          <cell r="D26">
            <v>22.6</v>
          </cell>
          <cell r="E26">
            <v>7.3849999999999998</v>
          </cell>
        </row>
        <row r="27">
          <cell r="E27">
            <v>6.9050000000000002</v>
          </cell>
        </row>
        <row r="28">
          <cell r="D28">
            <v>22.75</v>
          </cell>
          <cell r="E28">
            <v>6.8550000000000004</v>
          </cell>
        </row>
      </sheetData>
      <sheetData sheetId="1">
        <row r="9">
          <cell r="C9">
            <v>193.875</v>
          </cell>
          <cell r="D9">
            <v>30.652088232379999</v>
          </cell>
          <cell r="E9">
            <v>219.99999999999983</v>
          </cell>
          <cell r="F9">
            <v>37.2072</v>
          </cell>
          <cell r="G9">
            <v>3.4713599999999998</v>
          </cell>
          <cell r="H9">
            <v>180000</v>
          </cell>
        </row>
        <row r="10">
          <cell r="C10">
            <v>15.059999999999999</v>
          </cell>
          <cell r="D10">
            <v>13.248825459416</v>
          </cell>
          <cell r="E10">
            <v>16.800000000000011</v>
          </cell>
          <cell r="F10">
            <v>7.1447999999999992</v>
          </cell>
          <cell r="G10">
            <v>0.45801600000000009</v>
          </cell>
          <cell r="H10">
            <v>670</v>
          </cell>
        </row>
        <row r="11">
          <cell r="C11">
            <v>1.0700000000000003</v>
          </cell>
          <cell r="D11">
            <v>3.8875225899079999</v>
          </cell>
          <cell r="E11">
            <v>1.5999999999999943</v>
          </cell>
          <cell r="F11">
            <v>6.5548799999999998</v>
          </cell>
          <cell r="G11">
            <v>5.5247999999999998E-2</v>
          </cell>
          <cell r="H11">
            <v>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737</v>
          </cell>
        </row>
        <row r="13">
          <cell r="G13">
            <v>777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44449</v>
          </cell>
        </row>
        <row r="26">
          <cell r="D26">
            <v>22.7</v>
          </cell>
          <cell r="E26">
            <v>7.4850000000000003</v>
          </cell>
        </row>
        <row r="27">
          <cell r="E27">
            <v>6.915</v>
          </cell>
        </row>
        <row r="28">
          <cell r="D28">
            <v>22.8</v>
          </cell>
          <cell r="E28">
            <v>6.86</v>
          </cell>
        </row>
      </sheetData>
      <sheetData sheetId="1">
        <row r="9">
          <cell r="C9">
            <v>212.62499999999997</v>
          </cell>
          <cell r="D9">
            <v>71.389902046711995</v>
          </cell>
          <cell r="E9">
            <v>229.99999999999972</v>
          </cell>
          <cell r="F9">
            <v>31.152000000000001</v>
          </cell>
          <cell r="G9">
            <v>2.3064</v>
          </cell>
          <cell r="H9">
            <v>210000</v>
          </cell>
        </row>
        <row r="10">
          <cell r="C10">
            <v>10.619999999999997</v>
          </cell>
          <cell r="D10">
            <v>4.7359735290960003</v>
          </cell>
          <cell r="E10">
            <v>9.1999999999999886</v>
          </cell>
          <cell r="F10">
            <v>6.3355200000000007</v>
          </cell>
          <cell r="G10">
            <v>0.40838400000000008</v>
          </cell>
          <cell r="H10">
            <v>820</v>
          </cell>
        </row>
        <row r="11">
          <cell r="C11">
            <v>1.0799999999999992</v>
          </cell>
          <cell r="D11">
            <v>3.9538064870879999</v>
          </cell>
          <cell r="E11">
            <v>1.1999999999999886</v>
          </cell>
          <cell r="F11">
            <v>5.17584</v>
          </cell>
          <cell r="G11">
            <v>4.3296000000000001E-2</v>
          </cell>
          <cell r="H11">
            <v>5.5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976</v>
          </cell>
        </row>
        <row r="13">
          <cell r="G13">
            <v>913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749</v>
          </cell>
        </row>
        <row r="13">
          <cell r="G13">
            <v>670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44450</v>
          </cell>
        </row>
        <row r="26">
          <cell r="D26">
            <v>23.05</v>
          </cell>
          <cell r="E26">
            <v>7.2200000000000006</v>
          </cell>
        </row>
        <row r="27">
          <cell r="E27">
            <v>0</v>
          </cell>
        </row>
        <row r="28">
          <cell r="D28">
            <v>23.2</v>
          </cell>
          <cell r="E28">
            <v>6.86</v>
          </cell>
        </row>
      </sheetData>
      <sheetData sheetId="1">
        <row r="9">
          <cell r="C9">
            <v>216</v>
          </cell>
          <cell r="D9">
            <v>72.470703025152005</v>
          </cell>
          <cell r="E9">
            <v>233.33333333333334</v>
          </cell>
          <cell r="F9">
            <v>44.834399999999995</v>
          </cell>
          <cell r="G9">
            <v>4.8808800000000003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1.4900000000000002</v>
          </cell>
          <cell r="D11">
            <v>4.5283518854600002</v>
          </cell>
          <cell r="E11">
            <v>1.8</v>
          </cell>
          <cell r="F11">
            <v>4.1070000000000002</v>
          </cell>
          <cell r="G11">
            <v>0.09</v>
          </cell>
          <cell r="H11">
            <v>8.5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691</v>
          </cell>
        </row>
        <row r="13">
          <cell r="G13">
            <v>714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44451</v>
          </cell>
        </row>
        <row r="26">
          <cell r="D26">
            <v>23.1</v>
          </cell>
          <cell r="E26">
            <v>7.39</v>
          </cell>
        </row>
        <row r="27">
          <cell r="E27">
            <v>0</v>
          </cell>
        </row>
        <row r="28">
          <cell r="D28">
            <v>23.35</v>
          </cell>
          <cell r="E28">
            <v>6.8949999999999996</v>
          </cell>
        </row>
      </sheetData>
      <sheetData sheetId="1">
        <row r="9">
          <cell r="C9">
            <v>174.375</v>
          </cell>
          <cell r="D9">
            <v>112.29941383172</v>
          </cell>
          <cell r="E9">
            <v>153.3333333333336</v>
          </cell>
          <cell r="F9">
            <v>43.065600000000003</v>
          </cell>
          <cell r="G9">
            <v>4.6262400000000001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1.1899999999999995</v>
          </cell>
          <cell r="D11">
            <v>4.6949282809759998</v>
          </cell>
          <cell r="E11">
            <v>1.7</v>
          </cell>
          <cell r="F11">
            <v>4.3869999999999996</v>
          </cell>
          <cell r="G11">
            <v>8.8999999999999996E-2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704</v>
          </cell>
        </row>
        <row r="13">
          <cell r="G13">
            <v>657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44452</v>
          </cell>
        </row>
        <row r="26">
          <cell r="D26">
            <v>22.75</v>
          </cell>
          <cell r="E26">
            <v>7.4050000000000002</v>
          </cell>
        </row>
        <row r="27">
          <cell r="E27">
            <v>8.4550000000000001</v>
          </cell>
        </row>
        <row r="28">
          <cell r="D28">
            <v>22.85</v>
          </cell>
          <cell r="E28">
            <v>6.8949999999999996</v>
          </cell>
        </row>
      </sheetData>
      <sheetData sheetId="1">
        <row r="9">
          <cell r="C9">
            <v>183</v>
          </cell>
          <cell r="D9">
            <v>49.981530922567998</v>
          </cell>
          <cell r="E9">
            <v>203.3333333333336</v>
          </cell>
          <cell r="F9">
            <v>46.243200000000002</v>
          </cell>
          <cell r="G9">
            <v>2.4681600000000001</v>
          </cell>
          <cell r="H9">
            <v>190000</v>
          </cell>
        </row>
        <row r="10">
          <cell r="C10">
            <v>13.589999999999998</v>
          </cell>
          <cell r="D10">
            <v>18.303224976044</v>
          </cell>
          <cell r="E10">
            <v>17.600000000000023</v>
          </cell>
          <cell r="F10">
            <v>9.3528000000000002</v>
          </cell>
          <cell r="G10">
            <v>0.40838400000000008</v>
          </cell>
          <cell r="H10">
            <v>810</v>
          </cell>
        </row>
        <row r="11">
          <cell r="C11">
            <v>1.0999999999999996</v>
          </cell>
          <cell r="D11">
            <v>5.0782111037359998</v>
          </cell>
          <cell r="E11">
            <v>2</v>
          </cell>
          <cell r="F11">
            <v>6.6912000000000003</v>
          </cell>
          <cell r="G11">
            <v>3.6912E-2</v>
          </cell>
          <cell r="H11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616</v>
          </cell>
        </row>
        <row r="13">
          <cell r="G13">
            <v>658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44453</v>
          </cell>
        </row>
        <row r="26">
          <cell r="D26">
            <v>22.5</v>
          </cell>
          <cell r="E26">
            <v>7.3550000000000004</v>
          </cell>
        </row>
        <row r="27">
          <cell r="E27">
            <v>6.94</v>
          </cell>
        </row>
        <row r="28">
          <cell r="D28">
            <v>22.55</v>
          </cell>
          <cell r="E28">
            <v>6.9050000000000002</v>
          </cell>
        </row>
      </sheetData>
      <sheetData sheetId="1">
        <row r="9">
          <cell r="C9">
            <v>189.37499999999997</v>
          </cell>
          <cell r="D9">
            <v>79.702122151911993</v>
          </cell>
          <cell r="E9">
            <v>173.33333333333343</v>
          </cell>
          <cell r="F9">
            <v>57.489600000000003</v>
          </cell>
          <cell r="G9">
            <v>5.4513600000000002</v>
          </cell>
          <cell r="H9">
            <v>160000</v>
          </cell>
        </row>
        <row r="10">
          <cell r="C10">
            <v>15.150000000000002</v>
          </cell>
          <cell r="D10">
            <v>4.4221232607580001</v>
          </cell>
          <cell r="E10">
            <v>14.800000000000011</v>
          </cell>
          <cell r="F10">
            <v>7.4366399999999997</v>
          </cell>
          <cell r="G10">
            <v>0.43464000000000008</v>
          </cell>
          <cell r="H10">
            <v>490</v>
          </cell>
        </row>
        <row r="11">
          <cell r="C11">
            <v>1.3099999999999996</v>
          </cell>
          <cell r="D11">
            <v>2.8563775606020001</v>
          </cell>
          <cell r="E11">
            <v>1.2000000000000171</v>
          </cell>
          <cell r="F11">
            <v>7.2657599999999984</v>
          </cell>
          <cell r="G11">
            <v>5.371200000000001E-2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620</v>
          </cell>
        </row>
        <row r="13">
          <cell r="G13">
            <v>611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44454</v>
          </cell>
        </row>
        <row r="26">
          <cell r="D26">
            <v>22.1</v>
          </cell>
          <cell r="E26">
            <v>7.43</v>
          </cell>
        </row>
        <row r="27">
          <cell r="E27">
            <v>6.915</v>
          </cell>
        </row>
        <row r="28">
          <cell r="D28">
            <v>22.25</v>
          </cell>
          <cell r="E28">
            <v>6.8650000000000002</v>
          </cell>
        </row>
      </sheetData>
      <sheetData sheetId="1">
        <row r="9">
          <cell r="C9">
            <v>209.62500000000003</v>
          </cell>
          <cell r="D9">
            <v>87.263494949656007</v>
          </cell>
          <cell r="E9">
            <v>216.66666666666666</v>
          </cell>
          <cell r="F9">
            <v>39.880800000000001</v>
          </cell>
          <cell r="G9">
            <v>4.8278399999999992</v>
          </cell>
          <cell r="H9">
            <v>200000</v>
          </cell>
        </row>
        <row r="10">
          <cell r="C10">
            <v>12.629999999999997</v>
          </cell>
          <cell r="D10">
            <v>2.9474126431040002</v>
          </cell>
          <cell r="E10">
            <v>16.800000000000011</v>
          </cell>
          <cell r="F10">
            <v>7.7107199999999994</v>
          </cell>
          <cell r="G10">
            <v>9.6575999999999981E-2</v>
          </cell>
          <cell r="H10">
            <v>700</v>
          </cell>
        </row>
        <row r="11">
          <cell r="C11">
            <v>1.1900000000000004</v>
          </cell>
          <cell r="D11">
            <v>3.9227249537120001</v>
          </cell>
          <cell r="E11">
            <v>1.8000000000000114</v>
          </cell>
          <cell r="F11">
            <v>7.4918399999999989</v>
          </cell>
          <cell r="G11">
            <v>5.5247999999999998E-2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44441</v>
          </cell>
        </row>
        <row r="26">
          <cell r="D26">
            <v>22.05</v>
          </cell>
          <cell r="E26">
            <v>7.5150000000000006</v>
          </cell>
        </row>
        <row r="27">
          <cell r="E27">
            <v>6.9649999999999999</v>
          </cell>
        </row>
        <row r="28">
          <cell r="D28">
            <v>22.35</v>
          </cell>
          <cell r="E28">
            <v>6.915</v>
          </cell>
        </row>
      </sheetData>
      <sheetData sheetId="1">
        <row r="9">
          <cell r="C9">
            <v>158.25</v>
          </cell>
          <cell r="D9">
            <v>35.752163871808001</v>
          </cell>
          <cell r="E9">
            <v>186.66666666666649</v>
          </cell>
          <cell r="F9">
            <v>46.617600000000003</v>
          </cell>
          <cell r="G9">
            <v>4.3224</v>
          </cell>
          <cell r="H9">
            <v>170000</v>
          </cell>
        </row>
        <row r="10">
          <cell r="C10">
            <v>15.78</v>
          </cell>
          <cell r="D10">
            <v>32.07983345905</v>
          </cell>
          <cell r="E10">
            <v>14.800000000000011</v>
          </cell>
          <cell r="F10">
            <v>6.1319999999999997</v>
          </cell>
          <cell r="G10">
            <v>0.45014399999999993</v>
          </cell>
          <cell r="H10">
            <v>900</v>
          </cell>
        </row>
        <row r="11">
          <cell r="C11">
            <v>1.2700000000000005</v>
          </cell>
          <cell r="D11">
            <v>14.21207098576</v>
          </cell>
          <cell r="E11">
            <v>1.2000000000000171</v>
          </cell>
          <cell r="F11">
            <v>5.503680000000001</v>
          </cell>
          <cell r="G11">
            <v>5.4432000000000001E-2</v>
          </cell>
          <cell r="H11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579</v>
          </cell>
        </row>
        <row r="13">
          <cell r="G13">
            <v>582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44455</v>
          </cell>
        </row>
        <row r="26">
          <cell r="D26">
            <v>22.05</v>
          </cell>
          <cell r="E26">
            <v>7.2200000000000006</v>
          </cell>
        </row>
        <row r="27">
          <cell r="E27">
            <v>6.9050000000000002</v>
          </cell>
        </row>
        <row r="28">
          <cell r="D28">
            <v>22.15</v>
          </cell>
          <cell r="E28">
            <v>6.85</v>
          </cell>
        </row>
      </sheetData>
      <sheetData sheetId="1">
        <row r="9">
          <cell r="C9">
            <v>203.625</v>
          </cell>
          <cell r="D9">
            <v>83.722077072008005</v>
          </cell>
          <cell r="E9">
            <v>183.33333333333334</v>
          </cell>
          <cell r="F9">
            <v>36.1464</v>
          </cell>
          <cell r="G9">
            <v>4.28592</v>
          </cell>
          <cell r="H9">
            <v>200000</v>
          </cell>
        </row>
        <row r="10">
          <cell r="C10">
            <v>14.430000000000001</v>
          </cell>
          <cell r="D10">
            <v>17.228614667479999</v>
          </cell>
          <cell r="E10">
            <v>14.800000000000011</v>
          </cell>
          <cell r="F10">
            <v>6.0993599999999999</v>
          </cell>
          <cell r="G10">
            <v>0.52843200000000001</v>
          </cell>
          <cell r="H10">
            <v>670</v>
          </cell>
        </row>
        <row r="11">
          <cell r="C11">
            <v>1.1200000000000001</v>
          </cell>
          <cell r="D11">
            <v>6.5478137688039997</v>
          </cell>
          <cell r="E11">
            <v>2.1999999999999886</v>
          </cell>
          <cell r="F11">
            <v>3.7958400000000005</v>
          </cell>
          <cell r="G11">
            <v>8.4288000000000002E-2</v>
          </cell>
          <cell r="H11">
            <v>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564</v>
          </cell>
        </row>
        <row r="13">
          <cell r="G13">
            <v>516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44456</v>
          </cell>
        </row>
        <row r="26">
          <cell r="D26">
            <v>22.05</v>
          </cell>
          <cell r="E26">
            <v>7.38</v>
          </cell>
        </row>
        <row r="27">
          <cell r="E27">
            <v>6.915</v>
          </cell>
        </row>
        <row r="28">
          <cell r="D28">
            <v>22</v>
          </cell>
          <cell r="E28">
            <v>6.85</v>
          </cell>
        </row>
      </sheetData>
      <sheetData sheetId="1">
        <row r="9">
          <cell r="C9">
            <v>178.87499999999997</v>
          </cell>
          <cell r="D9">
            <v>74.474311195659993</v>
          </cell>
          <cell r="E9">
            <v>159.99999999999991</v>
          </cell>
          <cell r="F9">
            <v>40.548000000000002</v>
          </cell>
          <cell r="G9">
            <v>7.2854399999999995</v>
          </cell>
          <cell r="H9">
            <v>160000</v>
          </cell>
        </row>
        <row r="10">
          <cell r="C10">
            <v>11.96</v>
          </cell>
          <cell r="D10">
            <v>17.925324899456001</v>
          </cell>
          <cell r="E10">
            <v>14.800000000000011</v>
          </cell>
          <cell r="F10">
            <v>7.3819199999999991</v>
          </cell>
          <cell r="G10">
            <v>0.16622399999999998</v>
          </cell>
          <cell r="H10">
            <v>580</v>
          </cell>
        </row>
        <row r="11">
          <cell r="C11">
            <v>1.21</v>
          </cell>
          <cell r="D11">
            <v>4.301641263744</v>
          </cell>
          <cell r="E11">
            <v>1.7999999999999829</v>
          </cell>
          <cell r="F11">
            <v>7.1159999999999997</v>
          </cell>
          <cell r="G11">
            <v>5.9951999999999984E-2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685</v>
          </cell>
        </row>
        <row r="13">
          <cell r="G13">
            <v>705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44457</v>
          </cell>
        </row>
        <row r="26">
          <cell r="D26">
            <v>21.8</v>
          </cell>
          <cell r="E26">
            <v>7.1349999999999998</v>
          </cell>
        </row>
        <row r="27">
          <cell r="E27">
            <v>0</v>
          </cell>
        </row>
        <row r="28">
          <cell r="D28">
            <v>22.05</v>
          </cell>
          <cell r="E28">
            <v>6.8849999999999998</v>
          </cell>
        </row>
      </sheetData>
      <sheetData sheetId="1">
        <row r="9">
          <cell r="C9">
            <v>197.62499999999997</v>
          </cell>
          <cell r="D9">
            <v>76.474135337863999</v>
          </cell>
          <cell r="E9">
            <v>166.66666666666666</v>
          </cell>
          <cell r="F9">
            <v>47.935199999999995</v>
          </cell>
          <cell r="G9">
            <v>4.5263999999999998</v>
          </cell>
          <cell r="H9">
            <v>160000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0.67999999999999972</v>
          </cell>
          <cell r="D11">
            <v>6.0823439556540002</v>
          </cell>
          <cell r="E11">
            <v>1.7</v>
          </cell>
          <cell r="F11">
            <v>3.9540000000000002</v>
          </cell>
          <cell r="G11">
            <v>7.2999999999999995E-2</v>
          </cell>
          <cell r="H11">
            <v>13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870</v>
          </cell>
        </row>
        <row r="13">
          <cell r="G13">
            <v>936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44458</v>
          </cell>
        </row>
        <row r="26">
          <cell r="D26">
            <v>21.6</v>
          </cell>
          <cell r="E26">
            <v>7.3800000000000008</v>
          </cell>
        </row>
        <row r="27">
          <cell r="E27">
            <v>0</v>
          </cell>
        </row>
        <row r="28">
          <cell r="D28">
            <v>21.85</v>
          </cell>
          <cell r="E28">
            <v>6.8550000000000004</v>
          </cell>
        </row>
      </sheetData>
      <sheetData sheetId="1">
        <row r="9">
          <cell r="C9">
            <v>211.87499999999997</v>
          </cell>
          <cell r="D9">
            <v>78.324103031012001</v>
          </cell>
          <cell r="E9">
            <v>223.33333333333343</v>
          </cell>
          <cell r="F9">
            <v>42.943199999999997</v>
          </cell>
          <cell r="G9">
            <v>4.3248000000000015</v>
          </cell>
          <cell r="H9">
            <v>220000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1.2200000000000006</v>
          </cell>
          <cell r="D11">
            <v>6.1766566618720002</v>
          </cell>
          <cell r="E11">
            <v>1.7</v>
          </cell>
          <cell r="F11">
            <v>4.4530000000000003</v>
          </cell>
          <cell r="G11">
            <v>7.1999999999999995E-2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757</v>
          </cell>
        </row>
        <row r="13">
          <cell r="G13">
            <v>875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44459</v>
          </cell>
        </row>
        <row r="26">
          <cell r="D26">
            <v>21.55</v>
          </cell>
          <cell r="E26">
            <v>7.25</v>
          </cell>
        </row>
        <row r="27">
          <cell r="E27">
            <v>0</v>
          </cell>
        </row>
        <row r="28">
          <cell r="D28">
            <v>21.8</v>
          </cell>
          <cell r="E28">
            <v>6.8449999999999998</v>
          </cell>
        </row>
      </sheetData>
      <sheetData sheetId="1">
        <row r="9">
          <cell r="C9">
            <v>206.62500000000003</v>
          </cell>
          <cell r="D9">
            <v>81.559972195507996</v>
          </cell>
          <cell r="E9">
            <v>240.00000000000009</v>
          </cell>
          <cell r="F9">
            <v>51.088800000000006</v>
          </cell>
          <cell r="G9">
            <v>5.5003200000000003</v>
          </cell>
          <cell r="H9">
            <v>210000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1.7000000000000011</v>
          </cell>
          <cell r="D11">
            <v>6.0729090328039996</v>
          </cell>
          <cell r="E11">
            <v>1.8</v>
          </cell>
          <cell r="F11">
            <v>4.0759999999999996</v>
          </cell>
          <cell r="G11">
            <v>9.9000000000000005E-2</v>
          </cell>
          <cell r="H11">
            <v>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908</v>
          </cell>
        </row>
        <row r="13">
          <cell r="G13">
            <v>1040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779</v>
          </cell>
        </row>
        <row r="13">
          <cell r="G13">
            <v>681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44460</v>
          </cell>
        </row>
        <row r="26">
          <cell r="D26">
            <v>21.7</v>
          </cell>
          <cell r="E26">
            <v>7.4450000000000003</v>
          </cell>
        </row>
        <row r="27">
          <cell r="E27">
            <v>0</v>
          </cell>
        </row>
        <row r="28">
          <cell r="D28">
            <v>22.05</v>
          </cell>
          <cell r="E28">
            <v>6.6850000000000005</v>
          </cell>
        </row>
      </sheetData>
      <sheetData sheetId="1">
        <row r="9">
          <cell r="C9">
            <v>195.37499999999997</v>
          </cell>
          <cell r="D9">
            <v>61.061878329860001</v>
          </cell>
          <cell r="E9">
            <v>213.33333333333306</v>
          </cell>
          <cell r="F9">
            <v>43.358399999999989</v>
          </cell>
          <cell r="G9">
            <v>4.3219199999999995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1.3699999999999992</v>
          </cell>
          <cell r="D11">
            <v>3.6685290558700001</v>
          </cell>
          <cell r="E11">
            <v>1.8</v>
          </cell>
          <cell r="F11">
            <v>6.05</v>
          </cell>
          <cell r="G11">
            <v>8.2000000000000003E-2</v>
          </cell>
          <cell r="H11">
            <v>8.5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825</v>
          </cell>
        </row>
        <row r="13">
          <cell r="G13">
            <v>851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44461</v>
          </cell>
        </row>
        <row r="26">
          <cell r="D26">
            <v>21.4</v>
          </cell>
          <cell r="E26">
            <v>7.54</v>
          </cell>
        </row>
        <row r="27">
          <cell r="E27">
            <v>0</v>
          </cell>
        </row>
        <row r="28">
          <cell r="D28">
            <v>21.75</v>
          </cell>
          <cell r="E28">
            <v>6.8650000000000002</v>
          </cell>
        </row>
      </sheetData>
      <sheetData sheetId="1">
        <row r="9">
          <cell r="C9">
            <v>184.12499999999997</v>
          </cell>
          <cell r="D9">
            <v>39.562888387435997</v>
          </cell>
          <cell r="E9">
            <v>186.66666666666649</v>
          </cell>
          <cell r="F9">
            <v>69.523200000000003</v>
          </cell>
          <cell r="G9">
            <v>7.2288000000000014</v>
          </cell>
          <cell r="H9">
            <v>170000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1.4000000000000004</v>
          </cell>
          <cell r="D11">
            <v>4.5813599901759998</v>
          </cell>
          <cell r="E11">
            <v>1.8</v>
          </cell>
          <cell r="F11">
            <v>6.5289999999999999</v>
          </cell>
          <cell r="G11">
            <v>7.3999999999999996E-2</v>
          </cell>
          <cell r="H11">
            <v>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780</v>
          </cell>
        </row>
        <row r="13">
          <cell r="G13">
            <v>863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44462</v>
          </cell>
        </row>
        <row r="26">
          <cell r="D26">
            <v>21.35</v>
          </cell>
          <cell r="E26">
            <v>7.4649999999999999</v>
          </cell>
        </row>
        <row r="27">
          <cell r="E27">
            <v>6.9</v>
          </cell>
        </row>
        <row r="28">
          <cell r="D28">
            <v>21.55</v>
          </cell>
          <cell r="E28">
            <v>6.8049999999999997</v>
          </cell>
        </row>
      </sheetData>
      <sheetData sheetId="1">
        <row r="9">
          <cell r="C9">
            <v>197.62499999999997</v>
          </cell>
          <cell r="D9">
            <v>49.236140207863997</v>
          </cell>
          <cell r="E9">
            <v>180.00000000000017</v>
          </cell>
          <cell r="F9">
            <v>41.827199999999998</v>
          </cell>
          <cell r="G9">
            <v>4.0545599999999995</v>
          </cell>
          <cell r="H9">
            <v>170000</v>
          </cell>
        </row>
        <row r="10">
          <cell r="C10">
            <v>13.319999999999999</v>
          </cell>
          <cell r="D10">
            <v>19.700906983544002</v>
          </cell>
          <cell r="E10">
            <v>15.199999999999989</v>
          </cell>
          <cell r="F10">
            <v>8.0476799999999997</v>
          </cell>
          <cell r="G10">
            <v>0.32529600000000003</v>
          </cell>
          <cell r="H10">
            <v>720</v>
          </cell>
        </row>
        <row r="11">
          <cell r="C11">
            <v>1.5799999999999992</v>
          </cell>
          <cell r="D11">
            <v>4.3756211113700001</v>
          </cell>
          <cell r="E11">
            <v>1.2000000000000171</v>
          </cell>
          <cell r="F11">
            <v>6.7401600000000004</v>
          </cell>
          <cell r="G11">
            <v>5.9712000000000015E-2</v>
          </cell>
          <cell r="H11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683</v>
          </cell>
        </row>
        <row r="13">
          <cell r="G13">
            <v>630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44463</v>
          </cell>
        </row>
        <row r="26">
          <cell r="D26">
            <v>21.5</v>
          </cell>
          <cell r="E26">
            <v>7.2549999999999999</v>
          </cell>
        </row>
        <row r="27">
          <cell r="E27">
            <v>6.9</v>
          </cell>
        </row>
        <row r="28">
          <cell r="D28">
            <v>21.65</v>
          </cell>
          <cell r="E28">
            <v>6.8149999999999995</v>
          </cell>
        </row>
      </sheetData>
      <sheetData sheetId="1">
        <row r="9">
          <cell r="C9">
            <v>196.12499999999997</v>
          </cell>
          <cell r="D9">
            <v>39.573015111559997</v>
          </cell>
          <cell r="E9">
            <v>203.3333333333336</v>
          </cell>
          <cell r="F9">
            <v>45.96</v>
          </cell>
          <cell r="G9">
            <v>4.1510400000000001</v>
          </cell>
          <cell r="H9">
            <v>190000</v>
          </cell>
        </row>
        <row r="10">
          <cell r="C10">
            <v>9.120000000000001</v>
          </cell>
          <cell r="D10">
            <v>7.8971594227519999</v>
          </cell>
          <cell r="E10">
            <v>12.800000000000011</v>
          </cell>
          <cell r="F10">
            <v>8.0870399999999982</v>
          </cell>
          <cell r="G10">
            <v>0.35049599999999997</v>
          </cell>
          <cell r="H10">
            <v>760</v>
          </cell>
        </row>
        <row r="11">
          <cell r="C11">
            <v>1.5400000000000009</v>
          </cell>
          <cell r="D11">
            <v>4.7641674804800003</v>
          </cell>
          <cell r="E11">
            <v>1.1999999999999886</v>
          </cell>
          <cell r="F11">
            <v>6.0580800000000004</v>
          </cell>
          <cell r="G11">
            <v>6.067199999999999E-2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590</v>
          </cell>
        </row>
        <row r="13">
          <cell r="G13">
            <v>595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44464</v>
          </cell>
        </row>
        <row r="26">
          <cell r="D26">
            <v>21.1</v>
          </cell>
          <cell r="E26">
            <v>7.4600000000000009</v>
          </cell>
        </row>
        <row r="27">
          <cell r="E27">
            <v>0</v>
          </cell>
        </row>
        <row r="28">
          <cell r="D28">
            <v>21.4</v>
          </cell>
          <cell r="E28">
            <v>6.8149999999999995</v>
          </cell>
        </row>
      </sheetData>
      <sheetData sheetId="1">
        <row r="9">
          <cell r="C9">
            <v>179.25</v>
          </cell>
          <cell r="D9">
            <v>44.128230954919999</v>
          </cell>
          <cell r="E9">
            <v>180.00000000000017</v>
          </cell>
          <cell r="F9">
            <v>44.496000000000002</v>
          </cell>
          <cell r="G9">
            <v>4.3713600000000001</v>
          </cell>
          <cell r="H9">
            <v>140000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1.4399999999999995</v>
          </cell>
          <cell r="D11">
            <v>3.143571840006</v>
          </cell>
          <cell r="E11">
            <v>1.7</v>
          </cell>
          <cell r="F11">
            <v>4.524</v>
          </cell>
          <cell r="G11">
            <v>6.3E-2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44442</v>
          </cell>
        </row>
        <row r="26">
          <cell r="D26">
            <v>22.45</v>
          </cell>
          <cell r="E26">
            <v>7.4450000000000003</v>
          </cell>
        </row>
        <row r="27">
          <cell r="E27">
            <v>6.9350000000000005</v>
          </cell>
        </row>
        <row r="28">
          <cell r="D28">
            <v>22.3</v>
          </cell>
          <cell r="E28">
            <v>6.8949999999999996</v>
          </cell>
        </row>
      </sheetData>
      <sheetData sheetId="1">
        <row r="9">
          <cell r="C9">
            <v>207.37499999999997</v>
          </cell>
          <cell r="D9">
            <v>49.415700747228001</v>
          </cell>
          <cell r="E9">
            <v>216.66666666666666</v>
          </cell>
          <cell r="F9">
            <v>31.152000000000001</v>
          </cell>
          <cell r="G9">
            <v>2.3064</v>
          </cell>
          <cell r="H9">
            <v>230000</v>
          </cell>
        </row>
        <row r="10">
          <cell r="C10">
            <v>11.7</v>
          </cell>
          <cell r="D10">
            <v>4.5479402056960003</v>
          </cell>
          <cell r="E10">
            <v>12.399999999999979</v>
          </cell>
          <cell r="F10">
            <v>6.3355200000000007</v>
          </cell>
          <cell r="G10">
            <v>0.40838400000000008</v>
          </cell>
          <cell r="H10">
            <v>710</v>
          </cell>
        </row>
        <row r="11">
          <cell r="C11">
            <v>1.4700000000000006</v>
          </cell>
          <cell r="D11">
            <v>3.7314474099280002</v>
          </cell>
          <cell r="E11">
            <v>1.4000000000000057</v>
          </cell>
          <cell r="F11">
            <v>5.17584</v>
          </cell>
          <cell r="G11">
            <v>4.3296000000000001E-2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558</v>
          </cell>
        </row>
        <row r="13">
          <cell r="G13">
            <v>585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44465</v>
          </cell>
        </row>
        <row r="26">
          <cell r="D26">
            <v>21.25</v>
          </cell>
          <cell r="E26">
            <v>7.3100000000000005</v>
          </cell>
        </row>
        <row r="27">
          <cell r="E27">
            <v>0</v>
          </cell>
        </row>
        <row r="28">
          <cell r="D28">
            <v>21.55</v>
          </cell>
          <cell r="E28">
            <v>6.79</v>
          </cell>
        </row>
      </sheetData>
      <sheetData sheetId="1">
        <row r="9">
          <cell r="C9">
            <v>201.375</v>
          </cell>
          <cell r="D9">
            <v>55.820574554032</v>
          </cell>
          <cell r="E9">
            <v>209.99999999999991</v>
          </cell>
          <cell r="F9">
            <v>45.453600000000002</v>
          </cell>
          <cell r="G9">
            <v>4.1587199999999998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1.75</v>
          </cell>
          <cell r="D11">
            <v>3.9764300413939999</v>
          </cell>
          <cell r="E11">
            <v>1.9</v>
          </cell>
          <cell r="F11">
            <v>4.8090000000000002</v>
          </cell>
          <cell r="G11">
            <v>7.4999999999999997E-2</v>
          </cell>
          <cell r="H11">
            <v>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626</v>
          </cell>
        </row>
        <row r="13">
          <cell r="G13">
            <v>552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44466</v>
          </cell>
        </row>
        <row r="26">
          <cell r="D26">
            <v>21.05</v>
          </cell>
          <cell r="E26">
            <v>7.5350000000000001</v>
          </cell>
        </row>
        <row r="27">
          <cell r="E27">
            <v>6.915</v>
          </cell>
        </row>
        <row r="28">
          <cell r="D28">
            <v>21.4</v>
          </cell>
          <cell r="E28">
            <v>6.8250000000000002</v>
          </cell>
        </row>
      </sheetData>
      <sheetData sheetId="1">
        <row r="9">
          <cell r="C9">
            <v>211.87499999999997</v>
          </cell>
          <cell r="D9">
            <v>47.065108695440003</v>
          </cell>
          <cell r="E9">
            <v>193.33333333333323</v>
          </cell>
          <cell r="F9">
            <v>23.985599999999998</v>
          </cell>
          <cell r="G9">
            <v>3.7963199999999993</v>
          </cell>
          <cell r="H9">
            <v>210000</v>
          </cell>
        </row>
        <row r="10">
          <cell r="C10">
            <v>14.969999999999999</v>
          </cell>
          <cell r="D10">
            <v>11.100591716736</v>
          </cell>
          <cell r="E10">
            <v>16.800000000000011</v>
          </cell>
          <cell r="F10">
            <v>6.4670399999999999</v>
          </cell>
          <cell r="G10">
            <v>0.39772799999999997</v>
          </cell>
          <cell r="H10">
            <v>480</v>
          </cell>
        </row>
        <row r="11">
          <cell r="C11">
            <v>1.4100000000000001</v>
          </cell>
          <cell r="D11">
            <v>4.6259558993300001</v>
          </cell>
          <cell r="E11">
            <v>2</v>
          </cell>
          <cell r="F11">
            <v>5.9078400000000002</v>
          </cell>
          <cell r="G11">
            <v>5.1023999999999993E-2</v>
          </cell>
          <cell r="H11">
            <v>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552</v>
          </cell>
        </row>
        <row r="13">
          <cell r="G13">
            <v>595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44467</v>
          </cell>
        </row>
        <row r="26">
          <cell r="D26">
            <v>21.05</v>
          </cell>
          <cell r="E26">
            <v>7.1950000000000003</v>
          </cell>
        </row>
        <row r="27">
          <cell r="E27">
            <v>6.9050000000000002</v>
          </cell>
        </row>
        <row r="28">
          <cell r="D28">
            <v>21.55</v>
          </cell>
          <cell r="E28">
            <v>6.8250000000000002</v>
          </cell>
        </row>
      </sheetData>
      <sheetData sheetId="1">
        <row r="9">
          <cell r="C9">
            <v>188</v>
          </cell>
          <cell r="D9">
            <v>73.871323947264003</v>
          </cell>
          <cell r="E9">
            <v>200</v>
          </cell>
          <cell r="F9">
            <v>27.484800000000003</v>
          </cell>
          <cell r="G9">
            <v>5.1681600000000003</v>
          </cell>
          <cell r="H9">
            <v>170000</v>
          </cell>
        </row>
        <row r="10">
          <cell r="C10">
            <v>15.674999999999999</v>
          </cell>
          <cell r="D10">
            <v>8.8594209195680005</v>
          </cell>
          <cell r="E10">
            <v>13.600000000000021</v>
          </cell>
          <cell r="F10">
            <v>3.4665599999999999</v>
          </cell>
          <cell r="G10">
            <v>0.303504</v>
          </cell>
          <cell r="H10">
            <v>790</v>
          </cell>
        </row>
        <row r="11">
          <cell r="C11">
            <v>1.3200000000000003</v>
          </cell>
          <cell r="D11">
            <v>3.4550411896159998</v>
          </cell>
          <cell r="E11">
            <v>1.5999999999999943</v>
          </cell>
          <cell r="F11">
            <v>2.8569599999999999</v>
          </cell>
          <cell r="G11">
            <v>4.3727999999999996E-2</v>
          </cell>
          <cell r="H11">
            <v>5.5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579</v>
          </cell>
        </row>
        <row r="13">
          <cell r="G13">
            <v>543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44468</v>
          </cell>
        </row>
        <row r="26">
          <cell r="D26">
            <v>21.6</v>
          </cell>
          <cell r="E26">
            <v>7.5149999999999997</v>
          </cell>
        </row>
        <row r="27">
          <cell r="E27">
            <v>6.9249999999999998</v>
          </cell>
        </row>
        <row r="28">
          <cell r="D28">
            <v>21.75</v>
          </cell>
          <cell r="E28">
            <v>6.8449999999999998</v>
          </cell>
        </row>
      </sheetData>
      <sheetData sheetId="1">
        <row r="9">
          <cell r="C9">
            <v>169</v>
          </cell>
          <cell r="D9">
            <v>73.847481071648005</v>
          </cell>
          <cell r="E9">
            <v>153.3333333333336</v>
          </cell>
          <cell r="F9">
            <v>44.244000000000007</v>
          </cell>
          <cell r="G9">
            <v>4.8432000000000004</v>
          </cell>
          <cell r="H9">
            <v>140000</v>
          </cell>
        </row>
        <row r="10">
          <cell r="C10">
            <v>16.162500000000001</v>
          </cell>
          <cell r="D10">
            <v>12.46171320693</v>
          </cell>
          <cell r="E10">
            <v>15.600000000000021</v>
          </cell>
          <cell r="F10">
            <v>3.5553600000000003</v>
          </cell>
          <cell r="G10">
            <v>0.30220800000000003</v>
          </cell>
          <cell r="H10">
            <v>460</v>
          </cell>
        </row>
        <row r="11">
          <cell r="C11">
            <v>1.2900000000000009</v>
          </cell>
          <cell r="D11">
            <v>3.8963217601000002</v>
          </cell>
          <cell r="E11">
            <v>1.7999999999999829</v>
          </cell>
          <cell r="F11">
            <v>4.8763199999999998</v>
          </cell>
          <cell r="G11">
            <v>6.9648000000000002E-2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699</v>
          </cell>
        </row>
        <row r="13">
          <cell r="G13">
            <v>604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44469</v>
          </cell>
        </row>
        <row r="26">
          <cell r="D26">
            <v>21.1</v>
          </cell>
          <cell r="E26">
            <v>7.3900000000000006</v>
          </cell>
        </row>
        <row r="27">
          <cell r="E27">
            <v>6.915</v>
          </cell>
        </row>
        <row r="28">
          <cell r="D28">
            <v>21.25</v>
          </cell>
          <cell r="E28">
            <v>6.8250000000000002</v>
          </cell>
        </row>
      </sheetData>
      <sheetData sheetId="1">
        <row r="9">
          <cell r="C9">
            <v>217</v>
          </cell>
          <cell r="D9">
            <v>88.078361512735995</v>
          </cell>
          <cell r="E9">
            <v>226.66666666666703</v>
          </cell>
          <cell r="F9">
            <v>34.067999999999991</v>
          </cell>
          <cell r="G9">
            <v>3.52224</v>
          </cell>
          <cell r="H9">
            <v>220000</v>
          </cell>
        </row>
        <row r="10">
          <cell r="C10">
            <v>16.200000000000003</v>
          </cell>
          <cell r="D10">
            <v>6.1525476916680004</v>
          </cell>
          <cell r="E10">
            <v>13.199999999999989</v>
          </cell>
          <cell r="F10">
            <v>6.9796800000000001</v>
          </cell>
          <cell r="G10">
            <v>0.32520000000000004</v>
          </cell>
          <cell r="H10">
            <v>690</v>
          </cell>
        </row>
        <row r="11">
          <cell r="C11">
            <v>1.8399999999999999</v>
          </cell>
          <cell r="D11">
            <v>3.5548066441300001</v>
          </cell>
          <cell r="E11">
            <v>1.4000000000000057</v>
          </cell>
          <cell r="F11">
            <v>5.9726399999999993</v>
          </cell>
          <cell r="G11">
            <v>4.8720000000000006E-2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931</v>
          </cell>
        </row>
        <row r="13">
          <cell r="G13">
            <v>1018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744</v>
          </cell>
        </row>
        <row r="13">
          <cell r="G13">
            <v>913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44443</v>
          </cell>
        </row>
        <row r="26">
          <cell r="D26">
            <v>22.05</v>
          </cell>
          <cell r="E26">
            <v>7.27</v>
          </cell>
        </row>
        <row r="27">
          <cell r="E27">
            <v>0</v>
          </cell>
        </row>
        <row r="28">
          <cell r="D28">
            <v>22.25</v>
          </cell>
          <cell r="E28">
            <v>6.9399999999999995</v>
          </cell>
        </row>
      </sheetData>
      <sheetData sheetId="1">
        <row r="9">
          <cell r="C9">
            <v>219.375</v>
          </cell>
          <cell r="D9">
            <v>98.4800210776</v>
          </cell>
          <cell r="E9">
            <v>226.66666666666703</v>
          </cell>
          <cell r="F9">
            <v>37.902000000000008</v>
          </cell>
          <cell r="G9">
            <v>4.2405600000000003</v>
          </cell>
          <cell r="H9">
            <v>220000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1.42</v>
          </cell>
          <cell r="D11">
            <v>4.1086995534739996</v>
          </cell>
          <cell r="E11">
            <v>1.7</v>
          </cell>
          <cell r="F11">
            <v>5.2240000000000002</v>
          </cell>
          <cell r="G11">
            <v>8.1000000000000003E-2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760</v>
          </cell>
        </row>
        <row r="13">
          <cell r="G13">
            <v>837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44444</v>
          </cell>
        </row>
        <row r="26">
          <cell r="D26">
            <v>22.55</v>
          </cell>
          <cell r="E26">
            <v>7.375</v>
          </cell>
        </row>
        <row r="27">
          <cell r="E27">
            <v>0</v>
          </cell>
        </row>
        <row r="28">
          <cell r="D28">
            <v>22.45</v>
          </cell>
          <cell r="E28">
            <v>6.9550000000000001</v>
          </cell>
        </row>
      </sheetData>
      <sheetData sheetId="1">
        <row r="9">
          <cell r="C9">
            <v>196.5</v>
          </cell>
          <cell r="D9">
            <v>66.910110821136001</v>
          </cell>
          <cell r="E9">
            <v>180.00000000000017</v>
          </cell>
          <cell r="F9">
            <v>35.613600000000005</v>
          </cell>
          <cell r="G9">
            <v>3.4358400000000002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1.21</v>
          </cell>
          <cell r="D11">
            <v>4.0473888873739998</v>
          </cell>
          <cell r="E11">
            <v>1.7</v>
          </cell>
          <cell r="F11">
            <v>4.5940000000000003</v>
          </cell>
          <cell r="G11">
            <v>8.3000000000000004E-2</v>
          </cell>
          <cell r="H11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view="pageBreakPreview" zoomScaleSheetLayoutView="100" workbookViewId="0">
      <pane xSplit="1" ySplit="3" topLeftCell="B4" activePane="bottomRight" state="frozen"/>
      <selection activeCell="E21" sqref="E21"/>
      <selection pane="topRight" activeCell="E21" sqref="E21"/>
      <selection pane="bottomLeft" activeCell="E21" sqref="E21"/>
      <selection pane="bottomRight" activeCell="K12" sqref="K12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10.5" style="6" bestFit="1" customWidth="1"/>
    <col min="7" max="7" width="9" style="6"/>
    <col min="8" max="8" width="9" style="8" customWidth="1"/>
    <col min="9" max="9" width="11" style="7" bestFit="1" customWidth="1"/>
    <col min="10" max="10" width="9.5" bestFit="1" customWidth="1"/>
    <col min="14" max="14" width="9.125" customWidth="1"/>
  </cols>
  <sheetData>
    <row r="1" spans="1:13" ht="24.95" customHeight="1" thickBot="1">
      <c r="A1" s="108" t="s">
        <v>25</v>
      </c>
      <c r="B1" s="108"/>
      <c r="C1" s="108"/>
      <c r="D1" s="108"/>
      <c r="E1" s="108"/>
      <c r="F1" s="108"/>
      <c r="G1" s="108"/>
      <c r="H1" s="108"/>
      <c r="I1" s="108"/>
    </row>
    <row r="2" spans="1:13" ht="20.100000000000001" customHeight="1">
      <c r="A2" s="109" t="s">
        <v>14</v>
      </c>
      <c r="B2" s="111" t="s">
        <v>12</v>
      </c>
      <c r="C2" s="112"/>
      <c r="D2" s="112"/>
      <c r="E2" s="112"/>
      <c r="F2" s="112"/>
      <c r="G2" s="112"/>
      <c r="H2" s="112"/>
      <c r="I2" s="113"/>
    </row>
    <row r="3" spans="1:13" ht="24.95" customHeight="1" thickBot="1">
      <c r="A3" s="110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11</v>
      </c>
      <c r="J3" t="s">
        <v>22</v>
      </c>
    </row>
    <row r="4" spans="1:13" ht="20.100000000000001" customHeight="1" thickTop="1">
      <c r="A4" s="21">
        <f>[1]일반사항!$B$4</f>
        <v>44440</v>
      </c>
      <c r="B4" s="88">
        <f>[1]일반사항!$E$26</f>
        <v>7.42</v>
      </c>
      <c r="C4" s="89">
        <f>[1]실험기록부!$C$9</f>
        <v>169.87499999999997</v>
      </c>
      <c r="D4" s="90">
        <f>[1]실험기록부!$D$9</f>
        <v>28.779371413768001</v>
      </c>
      <c r="E4" s="22">
        <f>[1]실험기록부!$E$9</f>
        <v>133.33333333333334</v>
      </c>
      <c r="F4" s="23">
        <f>[1]실험기록부!$F$9</f>
        <v>25.756800000000002</v>
      </c>
      <c r="G4" s="23">
        <f>[1]실험기록부!$G$9</f>
        <v>3.9201600000000005</v>
      </c>
      <c r="H4" s="24">
        <f>[1]실험기록부!$H$9</f>
        <v>160000</v>
      </c>
      <c r="I4" s="26">
        <f>[2]커버3!$G$12</f>
        <v>976</v>
      </c>
      <c r="J4" s="96">
        <f>[1]일반사항!$D$26</f>
        <v>22.05</v>
      </c>
    </row>
    <row r="5" spans="1:13" ht="20.100000000000001" customHeight="1">
      <c r="A5" s="25">
        <f>[3]일반사항!$B$4</f>
        <v>44441</v>
      </c>
      <c r="B5" s="16">
        <f>[3]일반사항!$E$26</f>
        <v>7.5150000000000006</v>
      </c>
      <c r="C5" s="45">
        <f>[3]실험기록부!$C$9</f>
        <v>158.25</v>
      </c>
      <c r="D5" s="17">
        <f>[3]실험기록부!$D$9</f>
        <v>35.752163871808001</v>
      </c>
      <c r="E5" s="18">
        <f>[3]실험기록부!$E$9</f>
        <v>186.66666666666649</v>
      </c>
      <c r="F5" s="19">
        <f>[3]실험기록부!$F$9</f>
        <v>46.617600000000003</v>
      </c>
      <c r="G5" s="19">
        <f>[3]실험기록부!$G$9</f>
        <v>4.3224</v>
      </c>
      <c r="H5" s="20">
        <f>[3]실험기록부!$H$9</f>
        <v>170000</v>
      </c>
      <c r="I5" s="27">
        <f>[4]커버3!$G$12</f>
        <v>908</v>
      </c>
      <c r="J5" s="96">
        <f>[3]일반사항!$D$26</f>
        <v>22.05</v>
      </c>
    </row>
    <row r="6" spans="1:13" ht="20.100000000000001" customHeight="1">
      <c r="A6" s="25">
        <f>[5]일반사항!$B$4</f>
        <v>44442</v>
      </c>
      <c r="B6" s="16">
        <f>[5]일반사항!$E$26</f>
        <v>7.4450000000000003</v>
      </c>
      <c r="C6" s="45">
        <f>[5]실험기록부!$C$9</f>
        <v>207.37499999999997</v>
      </c>
      <c r="D6" s="17">
        <f>[5]실험기록부!$D$9</f>
        <v>49.415700747228001</v>
      </c>
      <c r="E6" s="18">
        <f>[5]실험기록부!$E$9</f>
        <v>216.66666666666666</v>
      </c>
      <c r="F6" s="19">
        <f>[5]실험기록부!$F$9</f>
        <v>31.152000000000001</v>
      </c>
      <c r="G6" s="19">
        <f>[5]실험기록부!$G$9</f>
        <v>2.3064</v>
      </c>
      <c r="H6" s="20">
        <f>[5]실험기록부!$H$9</f>
        <v>230000</v>
      </c>
      <c r="I6" s="27">
        <f>[6]커버3!$G$12</f>
        <v>931</v>
      </c>
      <c r="J6" s="96">
        <f>[5]일반사항!$D$26</f>
        <v>22.45</v>
      </c>
    </row>
    <row r="7" spans="1:13" ht="20.100000000000001" customHeight="1">
      <c r="A7" s="25">
        <f>[7]일반사항!$B$4</f>
        <v>44443</v>
      </c>
      <c r="B7" s="16">
        <f>[7]일반사항!$E$26</f>
        <v>7.27</v>
      </c>
      <c r="C7" s="45">
        <f>[7]실험기록부!$C$9</f>
        <v>219.375</v>
      </c>
      <c r="D7" s="17">
        <f>[7]실험기록부!$D$9</f>
        <v>98.4800210776</v>
      </c>
      <c r="E7" s="18">
        <f>[7]실험기록부!$E$9</f>
        <v>226.66666666666703</v>
      </c>
      <c r="F7" s="19">
        <f>[7]실험기록부!$F$9</f>
        <v>37.902000000000008</v>
      </c>
      <c r="G7" s="19">
        <f>[7]실험기록부!$G$9</f>
        <v>4.2405600000000003</v>
      </c>
      <c r="H7" s="20">
        <f>[7]실험기록부!$H$9</f>
        <v>220000</v>
      </c>
      <c r="I7" s="27">
        <f>[8]커버3!$G$12</f>
        <v>760</v>
      </c>
      <c r="J7" s="96">
        <f>[7]일반사항!$D$26</f>
        <v>22.05</v>
      </c>
    </row>
    <row r="8" spans="1:13" ht="20.100000000000001" customHeight="1">
      <c r="A8" s="25">
        <f>[9]일반사항!$B$4</f>
        <v>44444</v>
      </c>
      <c r="B8" s="16">
        <f>[9]일반사항!$E$26</f>
        <v>7.375</v>
      </c>
      <c r="C8" s="45">
        <f>[9]실험기록부!$C$9</f>
        <v>196.5</v>
      </c>
      <c r="D8" s="17">
        <f>[9]실험기록부!$D$9</f>
        <v>66.910110821136001</v>
      </c>
      <c r="E8" s="18">
        <f>[9]실험기록부!$E$9</f>
        <v>180.00000000000017</v>
      </c>
      <c r="F8" s="19">
        <f>[9]실험기록부!$F$9</f>
        <v>35.613600000000005</v>
      </c>
      <c r="G8" s="19">
        <f>[9]실험기록부!$G$9</f>
        <v>3.4358400000000002</v>
      </c>
      <c r="H8" s="20">
        <f>[9]실험기록부!$H$9</f>
        <v>190000</v>
      </c>
      <c r="I8" s="27">
        <f>[10]커버3!$G$12</f>
        <v>692</v>
      </c>
      <c r="J8" s="96">
        <f>[9]일반사항!$D$26</f>
        <v>22.55</v>
      </c>
    </row>
    <row r="9" spans="1:13" ht="20.100000000000001" customHeight="1">
      <c r="A9" s="25">
        <f>[11]일반사항!$B$4</f>
        <v>44445</v>
      </c>
      <c r="B9" s="16">
        <f>[11]일반사항!$E$26</f>
        <v>7.375</v>
      </c>
      <c r="C9" s="45">
        <f>[11]실험기록부!$C$9</f>
        <v>196.875</v>
      </c>
      <c r="D9" s="17">
        <f>[11]실험기록부!$D$9</f>
        <v>49.184205844482001</v>
      </c>
      <c r="E9" s="18">
        <f>[11]실험기록부!$E$9</f>
        <v>213.33333333333351</v>
      </c>
      <c r="F9" s="19">
        <f>[11]실험기록부!$F$9</f>
        <v>25.255199999999999</v>
      </c>
      <c r="G9" s="19">
        <f>[11]실험기록부!$G$9</f>
        <v>3.2961599999999995</v>
      </c>
      <c r="H9" s="20">
        <f>[11]실험기록부!$H$9</f>
        <v>200000</v>
      </c>
      <c r="I9" s="27">
        <f>[12]커버3!$G$12</f>
        <v>719</v>
      </c>
      <c r="J9" s="96">
        <f>[11]일반사항!$D$26</f>
        <v>21.6</v>
      </c>
      <c r="M9" t="s">
        <v>15</v>
      </c>
    </row>
    <row r="10" spans="1:13" ht="20.100000000000001" customHeight="1">
      <c r="A10" s="25">
        <f>[13]일반사항!$B$4</f>
        <v>44446</v>
      </c>
      <c r="B10" s="16">
        <f>[13]일반사항!$E$26</f>
        <v>7.5299999999999994</v>
      </c>
      <c r="C10" s="45">
        <f>[13]실험기록부!$C$9</f>
        <v>168.375</v>
      </c>
      <c r="D10" s="17">
        <f>[13]실험기록부!$D$9</f>
        <v>51.955047346672004</v>
      </c>
      <c r="E10" s="18">
        <f>[13]실험기록부!$E$9</f>
        <v>153.33333333333314</v>
      </c>
      <c r="F10" s="19">
        <f>[13]실험기록부!$F$9</f>
        <v>36.009600000000006</v>
      </c>
      <c r="G10" s="19">
        <f>[13]실험기록부!$G$9</f>
        <v>3.1483200000000005</v>
      </c>
      <c r="H10" s="20">
        <f>[13]실험기록부!$H$9</f>
        <v>150000</v>
      </c>
      <c r="I10" s="27">
        <f>[14]커버3!$G$12</f>
        <v>835</v>
      </c>
      <c r="J10" s="96">
        <f>[13]일반사항!$D$26</f>
        <v>21.25</v>
      </c>
      <c r="M10" t="s">
        <v>16</v>
      </c>
    </row>
    <row r="11" spans="1:13" ht="20.100000000000001" customHeight="1">
      <c r="A11" s="25">
        <f>[15]일반사항!$B$4</f>
        <v>44447</v>
      </c>
      <c r="B11" s="16">
        <f>[15]일반사항!$E$26</f>
        <v>7.2649999999999997</v>
      </c>
      <c r="C11" s="45">
        <f>[15]실험기록부!$C$9</f>
        <v>175.87500000000003</v>
      </c>
      <c r="D11" s="17">
        <f>[15]실험기록부!$D$9</f>
        <v>37.661274339484002</v>
      </c>
      <c r="E11" s="18">
        <f>[15]실험기록부!$E$9</f>
        <v>126.66666666666657</v>
      </c>
      <c r="F11" s="19">
        <f>[15]실험기록부!$F$9</f>
        <v>45.758399999999995</v>
      </c>
      <c r="G11" s="19">
        <f>[15]실험기록부!$G$9</f>
        <v>3.27312</v>
      </c>
      <c r="H11" s="20">
        <f>[15]실험기록부!$H$9</f>
        <v>180000</v>
      </c>
      <c r="I11" s="27">
        <f>[16]커버3!$G$12</f>
        <v>845</v>
      </c>
      <c r="J11" s="96">
        <f>[15]일반사항!$D$26</f>
        <v>22.55</v>
      </c>
      <c r="M11" t="s">
        <v>17</v>
      </c>
    </row>
    <row r="12" spans="1:13" ht="20.100000000000001" customHeight="1">
      <c r="A12" s="25">
        <f>[17]일반사항!$B$4</f>
        <v>44448</v>
      </c>
      <c r="B12" s="16">
        <f>[17]일반사항!$E$26</f>
        <v>7.3849999999999998</v>
      </c>
      <c r="C12" s="45">
        <f>[17]실험기록부!$C$9</f>
        <v>193.875</v>
      </c>
      <c r="D12" s="17">
        <f>[17]실험기록부!$D$9</f>
        <v>30.652088232379999</v>
      </c>
      <c r="E12" s="18">
        <f>[17]실험기록부!$E$9</f>
        <v>219.99999999999983</v>
      </c>
      <c r="F12" s="19">
        <f>[17]실험기록부!$F$9</f>
        <v>37.2072</v>
      </c>
      <c r="G12" s="19">
        <f>[17]실험기록부!$G$9</f>
        <v>3.4713599999999998</v>
      </c>
      <c r="H12" s="20">
        <f>[17]실험기록부!$H$9</f>
        <v>180000</v>
      </c>
      <c r="I12" s="27">
        <f>[18]커버3!$G$12</f>
        <v>737</v>
      </c>
      <c r="J12" s="96">
        <f>[17]일반사항!$D$26</f>
        <v>22.6</v>
      </c>
      <c r="M12" t="s">
        <v>18</v>
      </c>
    </row>
    <row r="13" spans="1:13" ht="20.100000000000001" customHeight="1">
      <c r="A13" s="25">
        <f>[19]일반사항!$B$4</f>
        <v>44449</v>
      </c>
      <c r="B13" s="16">
        <f>[19]일반사항!$E$26</f>
        <v>7.4850000000000003</v>
      </c>
      <c r="C13" s="45">
        <f>[19]실험기록부!$C$9</f>
        <v>212.62499999999997</v>
      </c>
      <c r="D13" s="17">
        <f>[19]실험기록부!$D$9</f>
        <v>71.389902046711995</v>
      </c>
      <c r="E13" s="18">
        <f>[19]실험기록부!$E$9</f>
        <v>229.99999999999972</v>
      </c>
      <c r="F13" s="19">
        <f>[19]실험기록부!$F$9</f>
        <v>31.152000000000001</v>
      </c>
      <c r="G13" s="19">
        <f>[19]실험기록부!$G$9</f>
        <v>2.3064</v>
      </c>
      <c r="H13" s="20">
        <f>[19]실험기록부!$H$9</f>
        <v>210000</v>
      </c>
      <c r="I13" s="27">
        <f>[20]커버3!$G$12</f>
        <v>749</v>
      </c>
      <c r="J13" s="96">
        <f>[19]일반사항!$D$26</f>
        <v>22.7</v>
      </c>
      <c r="M13" t="s">
        <v>19</v>
      </c>
    </row>
    <row r="14" spans="1:13" ht="20.100000000000001" customHeight="1">
      <c r="A14" s="25">
        <f>[21]일반사항!$B$4</f>
        <v>44450</v>
      </c>
      <c r="B14" s="16">
        <f>[21]일반사항!$E$26</f>
        <v>7.2200000000000006</v>
      </c>
      <c r="C14" s="45">
        <f>[21]실험기록부!$C$9</f>
        <v>216</v>
      </c>
      <c r="D14" s="17">
        <f>[21]실험기록부!$D$9</f>
        <v>72.470703025152005</v>
      </c>
      <c r="E14" s="18">
        <f>[21]실험기록부!$E$9</f>
        <v>233.33333333333334</v>
      </c>
      <c r="F14" s="19">
        <f>[21]실험기록부!$F$9</f>
        <v>44.834399999999995</v>
      </c>
      <c r="G14" s="19">
        <f>[21]실험기록부!$G$9</f>
        <v>4.8808800000000003</v>
      </c>
      <c r="H14" s="20">
        <f>[21]실험기록부!$H$9</f>
        <v>200000</v>
      </c>
      <c r="I14" s="27">
        <f>[22]커버3!$G$12</f>
        <v>691</v>
      </c>
      <c r="J14" s="96">
        <f>[21]일반사항!$D$26</f>
        <v>23.05</v>
      </c>
      <c r="M14" t="s">
        <v>20</v>
      </c>
    </row>
    <row r="15" spans="1:13" ht="20.100000000000001" customHeight="1">
      <c r="A15" s="25">
        <f>[23]일반사항!$B$4</f>
        <v>44451</v>
      </c>
      <c r="B15" s="16">
        <f>[23]일반사항!$E$26</f>
        <v>7.39</v>
      </c>
      <c r="C15" s="45">
        <f>[23]실험기록부!$C$9</f>
        <v>174.375</v>
      </c>
      <c r="D15" s="17">
        <f>[23]실험기록부!$D$9</f>
        <v>112.29941383172</v>
      </c>
      <c r="E15" s="18">
        <f>[23]실험기록부!$E$9</f>
        <v>153.3333333333336</v>
      </c>
      <c r="F15" s="19">
        <f>[23]실험기록부!$F$9</f>
        <v>43.065600000000003</v>
      </c>
      <c r="G15" s="19">
        <f>[23]실험기록부!$G$9</f>
        <v>4.6262400000000001</v>
      </c>
      <c r="H15" s="20">
        <f>[23]실험기록부!$H$9</f>
        <v>190000</v>
      </c>
      <c r="I15" s="27">
        <f>[24]커버3!$G$12</f>
        <v>704</v>
      </c>
      <c r="J15" s="96">
        <f>[23]일반사항!$D$26</f>
        <v>23.1</v>
      </c>
    </row>
    <row r="16" spans="1:13" ht="20.100000000000001" customHeight="1">
      <c r="A16" s="25">
        <f>[25]일반사항!$B$4</f>
        <v>44452</v>
      </c>
      <c r="B16" s="16">
        <f>[25]일반사항!$E$26</f>
        <v>7.4050000000000002</v>
      </c>
      <c r="C16" s="45">
        <f>[25]실험기록부!$C$9</f>
        <v>183</v>
      </c>
      <c r="D16" s="17">
        <f>[25]실험기록부!$D$9</f>
        <v>49.981530922567998</v>
      </c>
      <c r="E16" s="18">
        <f>[25]실험기록부!$E$9</f>
        <v>203.3333333333336</v>
      </c>
      <c r="F16" s="19">
        <f>[25]실험기록부!$F$9</f>
        <v>46.243200000000002</v>
      </c>
      <c r="G16" s="19">
        <f>[25]실험기록부!$G$9</f>
        <v>2.4681600000000001</v>
      </c>
      <c r="H16" s="20">
        <f>[25]실험기록부!$H$9</f>
        <v>190000</v>
      </c>
      <c r="I16" s="27">
        <f>[26]커버3!$G$12</f>
        <v>616</v>
      </c>
      <c r="J16" s="96">
        <f>[25]일반사항!$D$26</f>
        <v>22.75</v>
      </c>
    </row>
    <row r="17" spans="1:10" ht="20.100000000000001" customHeight="1">
      <c r="A17" s="25">
        <f>[27]일반사항!$B$4</f>
        <v>44453</v>
      </c>
      <c r="B17" s="16">
        <f>[27]일반사항!$E$26</f>
        <v>7.3550000000000004</v>
      </c>
      <c r="C17" s="45">
        <f>[27]실험기록부!$C$9</f>
        <v>189.37499999999997</v>
      </c>
      <c r="D17" s="17">
        <f>[27]실험기록부!$D$9</f>
        <v>79.702122151911993</v>
      </c>
      <c r="E17" s="18">
        <f>[27]실험기록부!$E$9</f>
        <v>173.33333333333343</v>
      </c>
      <c r="F17" s="19">
        <f>[27]실험기록부!$F$9</f>
        <v>57.489600000000003</v>
      </c>
      <c r="G17" s="19">
        <f>[27]실험기록부!$G$9</f>
        <v>5.4513600000000002</v>
      </c>
      <c r="H17" s="20">
        <f>[27]실험기록부!$H$9</f>
        <v>160000</v>
      </c>
      <c r="I17" s="27">
        <f>[28]커버3!$G$12</f>
        <v>620</v>
      </c>
      <c r="J17" s="96">
        <f>[27]일반사항!$D$26</f>
        <v>22.5</v>
      </c>
    </row>
    <row r="18" spans="1:10" ht="20.100000000000001" customHeight="1">
      <c r="A18" s="25">
        <f>[29]일반사항!$B$4</f>
        <v>44454</v>
      </c>
      <c r="B18" s="16">
        <f>[29]일반사항!$E$26</f>
        <v>7.43</v>
      </c>
      <c r="C18" s="45">
        <f>[29]실험기록부!$C$9</f>
        <v>209.62500000000003</v>
      </c>
      <c r="D18" s="17">
        <f>[29]실험기록부!$D$9</f>
        <v>87.263494949656007</v>
      </c>
      <c r="E18" s="18">
        <f>[29]실험기록부!$E$9</f>
        <v>216.66666666666666</v>
      </c>
      <c r="F18" s="19">
        <f>[29]실험기록부!$F$9</f>
        <v>39.880800000000001</v>
      </c>
      <c r="G18" s="19">
        <f>[29]실험기록부!$G$9</f>
        <v>4.8278399999999992</v>
      </c>
      <c r="H18" s="20">
        <f>[29]실험기록부!$H$9</f>
        <v>200000</v>
      </c>
      <c r="I18" s="27">
        <f>[30]커버3!$G$12</f>
        <v>579</v>
      </c>
      <c r="J18" s="96">
        <f>[29]일반사항!$D$26</f>
        <v>22.1</v>
      </c>
    </row>
    <row r="19" spans="1:10" ht="20.100000000000001" customHeight="1">
      <c r="A19" s="25">
        <f>[31]일반사항!$B$4</f>
        <v>44455</v>
      </c>
      <c r="B19" s="16">
        <f>[31]일반사항!$E$26</f>
        <v>7.2200000000000006</v>
      </c>
      <c r="C19" s="45">
        <f>[31]실험기록부!$C$9</f>
        <v>203.625</v>
      </c>
      <c r="D19" s="17">
        <f>[31]실험기록부!$D$9</f>
        <v>83.722077072008005</v>
      </c>
      <c r="E19" s="18">
        <f>[31]실험기록부!$E$9</f>
        <v>183.33333333333334</v>
      </c>
      <c r="F19" s="19">
        <f>[31]실험기록부!$F$9</f>
        <v>36.1464</v>
      </c>
      <c r="G19" s="19">
        <f>[31]실험기록부!$G$9</f>
        <v>4.28592</v>
      </c>
      <c r="H19" s="20">
        <f>[31]실험기록부!$H$9</f>
        <v>200000</v>
      </c>
      <c r="I19" s="27">
        <f>[32]커버3!$G$12</f>
        <v>564</v>
      </c>
      <c r="J19" s="96">
        <f>[31]일반사항!$D$26</f>
        <v>22.05</v>
      </c>
    </row>
    <row r="20" spans="1:10" ht="20.100000000000001" customHeight="1">
      <c r="A20" s="25">
        <f>[33]일반사항!$B$4</f>
        <v>44456</v>
      </c>
      <c r="B20" s="16">
        <f>[33]일반사항!$E$26</f>
        <v>7.38</v>
      </c>
      <c r="C20" s="45">
        <f>[33]실험기록부!$C$9</f>
        <v>178.87499999999997</v>
      </c>
      <c r="D20" s="17">
        <f>[33]실험기록부!$D$9</f>
        <v>74.474311195659993</v>
      </c>
      <c r="E20" s="18">
        <f>[33]실험기록부!$E$9</f>
        <v>159.99999999999991</v>
      </c>
      <c r="F20" s="19">
        <f>[33]실험기록부!$F$9</f>
        <v>40.548000000000002</v>
      </c>
      <c r="G20" s="19">
        <f>[33]실험기록부!$G$9</f>
        <v>7.2854399999999995</v>
      </c>
      <c r="H20" s="20">
        <f>[33]실험기록부!$H$9</f>
        <v>160000</v>
      </c>
      <c r="I20" s="27">
        <f>[34]커버3!$G$12</f>
        <v>685</v>
      </c>
      <c r="J20" s="96">
        <f>[33]일반사항!$D$26</f>
        <v>22.05</v>
      </c>
    </row>
    <row r="21" spans="1:10" ht="20.100000000000001" customHeight="1">
      <c r="A21" s="25">
        <f>[35]일반사항!$B$4</f>
        <v>44457</v>
      </c>
      <c r="B21" s="16">
        <f>[35]일반사항!$E$26</f>
        <v>7.1349999999999998</v>
      </c>
      <c r="C21" s="45">
        <f>[35]실험기록부!$C$9</f>
        <v>197.62499999999997</v>
      </c>
      <c r="D21" s="17">
        <f>[35]실험기록부!$D$9</f>
        <v>76.474135337863999</v>
      </c>
      <c r="E21" s="18">
        <f>[35]실험기록부!$E$9</f>
        <v>166.66666666666666</v>
      </c>
      <c r="F21" s="19">
        <f>[35]실험기록부!$F$9</f>
        <v>47.935199999999995</v>
      </c>
      <c r="G21" s="19">
        <f>[35]실험기록부!$G$9</f>
        <v>4.5263999999999998</v>
      </c>
      <c r="H21" s="20">
        <f>[35]실험기록부!$H$9</f>
        <v>160000</v>
      </c>
      <c r="I21" s="27">
        <f>[36]커버3!$G$12</f>
        <v>870</v>
      </c>
      <c r="J21" s="96">
        <f>[35]일반사항!$D$26</f>
        <v>21.8</v>
      </c>
    </row>
    <row r="22" spans="1:10" ht="20.100000000000001" customHeight="1">
      <c r="A22" s="25">
        <f>[37]일반사항!$B$4</f>
        <v>44458</v>
      </c>
      <c r="B22" s="16">
        <f>[37]일반사항!$E$26</f>
        <v>7.3800000000000008</v>
      </c>
      <c r="C22" s="45">
        <f>[37]실험기록부!$C$9</f>
        <v>211.87499999999997</v>
      </c>
      <c r="D22" s="17">
        <f>[37]실험기록부!$D$9</f>
        <v>78.324103031012001</v>
      </c>
      <c r="E22" s="18">
        <f>[37]실험기록부!$E$9</f>
        <v>223.33333333333343</v>
      </c>
      <c r="F22" s="19">
        <f>[37]실험기록부!$F$9</f>
        <v>42.943199999999997</v>
      </c>
      <c r="G22" s="19">
        <f>[37]실험기록부!$G$9</f>
        <v>4.3248000000000015</v>
      </c>
      <c r="H22" s="20">
        <f>[37]실험기록부!$H$9</f>
        <v>220000</v>
      </c>
      <c r="I22" s="27">
        <f>[38]커버3!$G$12</f>
        <v>757</v>
      </c>
      <c r="J22" s="96">
        <f>[37]일반사항!$D$26</f>
        <v>21.6</v>
      </c>
    </row>
    <row r="23" spans="1:10" ht="20.100000000000001" customHeight="1">
      <c r="A23" s="25">
        <f>[39]일반사항!$B$4</f>
        <v>44459</v>
      </c>
      <c r="B23" s="16">
        <f>[39]일반사항!$E$26</f>
        <v>7.25</v>
      </c>
      <c r="C23" s="45">
        <f>[39]실험기록부!$C$9</f>
        <v>206.62500000000003</v>
      </c>
      <c r="D23" s="17">
        <f>[39]실험기록부!$D$9</f>
        <v>81.559972195507996</v>
      </c>
      <c r="E23" s="18">
        <f>[39]실험기록부!$E$9</f>
        <v>240.00000000000009</v>
      </c>
      <c r="F23" s="19">
        <f>[39]실험기록부!$F$9</f>
        <v>51.088800000000006</v>
      </c>
      <c r="G23" s="19">
        <f>[39]실험기록부!$G$9</f>
        <v>5.5003200000000003</v>
      </c>
      <c r="H23" s="20">
        <f>[39]실험기록부!$H$9</f>
        <v>210000</v>
      </c>
      <c r="I23" s="27">
        <f>[40]커버3!$G$12</f>
        <v>779</v>
      </c>
      <c r="J23" s="96">
        <f>[39]일반사항!$D$26</f>
        <v>21.55</v>
      </c>
    </row>
    <row r="24" spans="1:10" ht="20.100000000000001" customHeight="1">
      <c r="A24" s="25">
        <f>[41]일반사항!$B$4</f>
        <v>44460</v>
      </c>
      <c r="B24" s="16">
        <f>[41]일반사항!$E$26</f>
        <v>7.4450000000000003</v>
      </c>
      <c r="C24" s="45">
        <f>[41]실험기록부!$C$9</f>
        <v>195.37499999999997</v>
      </c>
      <c r="D24" s="17">
        <f>[41]실험기록부!$D$9</f>
        <v>61.061878329860001</v>
      </c>
      <c r="E24" s="18">
        <f>[41]실험기록부!$E$9</f>
        <v>213.33333333333306</v>
      </c>
      <c r="F24" s="19">
        <f>[41]실험기록부!$F$9</f>
        <v>43.358399999999989</v>
      </c>
      <c r="G24" s="19">
        <f>[41]실험기록부!$G$9</f>
        <v>4.3219199999999995</v>
      </c>
      <c r="H24" s="20">
        <f>[41]실험기록부!$H$9</f>
        <v>200000</v>
      </c>
      <c r="I24" s="27">
        <f>[42]커버3!$G$12</f>
        <v>825</v>
      </c>
      <c r="J24" s="96">
        <f>[41]일반사항!$D$26</f>
        <v>21.7</v>
      </c>
    </row>
    <row r="25" spans="1:10" ht="20.100000000000001" customHeight="1">
      <c r="A25" s="25">
        <f>[43]일반사항!$B$4</f>
        <v>44461</v>
      </c>
      <c r="B25" s="16">
        <f>[43]일반사항!$E$26</f>
        <v>7.54</v>
      </c>
      <c r="C25" s="45">
        <f>[43]실험기록부!$C$9</f>
        <v>184.12499999999997</v>
      </c>
      <c r="D25" s="17">
        <f>[43]실험기록부!$D$9</f>
        <v>39.562888387435997</v>
      </c>
      <c r="E25" s="18">
        <f>[43]실험기록부!$E$9</f>
        <v>186.66666666666649</v>
      </c>
      <c r="F25" s="19">
        <f>[43]실험기록부!$F$9</f>
        <v>69.523200000000003</v>
      </c>
      <c r="G25" s="19">
        <f>[43]실험기록부!$G$9</f>
        <v>7.2288000000000014</v>
      </c>
      <c r="H25" s="20">
        <f>[43]실험기록부!$H$9</f>
        <v>170000</v>
      </c>
      <c r="I25" s="27">
        <f>[44]커버3!$G$12</f>
        <v>780</v>
      </c>
      <c r="J25" s="96">
        <f>[43]일반사항!$D$26</f>
        <v>21.4</v>
      </c>
    </row>
    <row r="26" spans="1:10" ht="20.100000000000001" customHeight="1">
      <c r="A26" s="25">
        <f>[45]일반사항!$B$4</f>
        <v>44462</v>
      </c>
      <c r="B26" s="16">
        <f>[45]일반사항!$E$26</f>
        <v>7.4649999999999999</v>
      </c>
      <c r="C26" s="45">
        <f>[45]실험기록부!$C$9</f>
        <v>197.62499999999997</v>
      </c>
      <c r="D26" s="17">
        <f>[45]실험기록부!$D$9</f>
        <v>49.236140207863997</v>
      </c>
      <c r="E26" s="18">
        <f>[45]실험기록부!$E$9</f>
        <v>180.00000000000017</v>
      </c>
      <c r="F26" s="19">
        <f>[45]실험기록부!$F$9</f>
        <v>41.827199999999998</v>
      </c>
      <c r="G26" s="19">
        <f>[45]실험기록부!$G$9</f>
        <v>4.0545599999999995</v>
      </c>
      <c r="H26" s="20">
        <f>[45]실험기록부!$H$9</f>
        <v>170000</v>
      </c>
      <c r="I26" s="27">
        <f>[46]커버3!$G$12</f>
        <v>683</v>
      </c>
      <c r="J26" s="96">
        <f>[45]일반사항!$D$26</f>
        <v>21.35</v>
      </c>
    </row>
    <row r="27" spans="1:10" ht="20.100000000000001" customHeight="1">
      <c r="A27" s="25">
        <f>[47]일반사항!$B$4</f>
        <v>44463</v>
      </c>
      <c r="B27" s="16">
        <f>[47]일반사항!$E$26</f>
        <v>7.2549999999999999</v>
      </c>
      <c r="C27" s="45">
        <f>[47]실험기록부!$C$9</f>
        <v>196.12499999999997</v>
      </c>
      <c r="D27" s="17">
        <f>[47]실험기록부!$D$9</f>
        <v>39.573015111559997</v>
      </c>
      <c r="E27" s="18">
        <f>[47]실험기록부!$E$9</f>
        <v>203.3333333333336</v>
      </c>
      <c r="F27" s="19">
        <f>[47]실험기록부!$F$9</f>
        <v>45.96</v>
      </c>
      <c r="G27" s="19">
        <f>[47]실험기록부!$G$9</f>
        <v>4.1510400000000001</v>
      </c>
      <c r="H27" s="20">
        <f>[47]실험기록부!$H$9</f>
        <v>190000</v>
      </c>
      <c r="I27" s="27">
        <f>[48]커버3!$G$12</f>
        <v>590</v>
      </c>
      <c r="J27" s="96">
        <f>[47]일반사항!$D$26</f>
        <v>21.5</v>
      </c>
    </row>
    <row r="28" spans="1:10" ht="20.100000000000001" customHeight="1">
      <c r="A28" s="25">
        <f>[49]일반사항!$B$4</f>
        <v>44464</v>
      </c>
      <c r="B28" s="16">
        <f>[49]일반사항!$E$26</f>
        <v>7.4600000000000009</v>
      </c>
      <c r="C28" s="45">
        <f>[49]실험기록부!$C$9</f>
        <v>179.25</v>
      </c>
      <c r="D28" s="17">
        <f>[49]실험기록부!$D$9</f>
        <v>44.128230954919999</v>
      </c>
      <c r="E28" s="18">
        <f>[49]실험기록부!$E$9</f>
        <v>180.00000000000017</v>
      </c>
      <c r="F28" s="19">
        <f>[49]실험기록부!$F$9</f>
        <v>44.496000000000002</v>
      </c>
      <c r="G28" s="19">
        <f>[49]실험기록부!$G$9</f>
        <v>4.3713600000000001</v>
      </c>
      <c r="H28" s="20">
        <f>[49]실험기록부!$H$9</f>
        <v>140000</v>
      </c>
      <c r="I28" s="27">
        <f>[50]커버3!$G$12</f>
        <v>558</v>
      </c>
      <c r="J28" s="96">
        <f>[49]일반사항!$D$26</f>
        <v>21.1</v>
      </c>
    </row>
    <row r="29" spans="1:10" ht="20.100000000000001" customHeight="1">
      <c r="A29" s="25">
        <f>[51]일반사항!$B$4</f>
        <v>44465</v>
      </c>
      <c r="B29" s="16">
        <f>[51]일반사항!$E$26</f>
        <v>7.3100000000000005</v>
      </c>
      <c r="C29" s="45">
        <f>[51]실험기록부!$C$9</f>
        <v>201.375</v>
      </c>
      <c r="D29" s="17">
        <f>[51]실험기록부!$D$9</f>
        <v>55.820574554032</v>
      </c>
      <c r="E29" s="18">
        <f>[51]실험기록부!$E$9</f>
        <v>209.99999999999991</v>
      </c>
      <c r="F29" s="19">
        <f>[51]실험기록부!$F$9</f>
        <v>45.453600000000002</v>
      </c>
      <c r="G29" s="19">
        <f>[51]실험기록부!$G$9</f>
        <v>4.1587199999999998</v>
      </c>
      <c r="H29" s="20">
        <f>[51]실험기록부!$H$9</f>
        <v>200000</v>
      </c>
      <c r="I29" s="27">
        <f>[52]커버3!$G$12</f>
        <v>626</v>
      </c>
      <c r="J29" s="96">
        <f>[51]일반사항!$D$26</f>
        <v>21.25</v>
      </c>
    </row>
    <row r="30" spans="1:10" ht="20.100000000000001" customHeight="1">
      <c r="A30" s="25">
        <f>[53]일반사항!$B$4</f>
        <v>44466</v>
      </c>
      <c r="B30" s="16">
        <f>[53]일반사항!$E$26</f>
        <v>7.5350000000000001</v>
      </c>
      <c r="C30" s="45">
        <f>[53]실험기록부!$C$9</f>
        <v>211.87499999999997</v>
      </c>
      <c r="D30" s="17">
        <f>[53]실험기록부!$D$9</f>
        <v>47.065108695440003</v>
      </c>
      <c r="E30" s="18">
        <f>[53]실험기록부!$E$9</f>
        <v>193.33333333333323</v>
      </c>
      <c r="F30" s="19">
        <f>[53]실험기록부!$F$9</f>
        <v>23.985599999999998</v>
      </c>
      <c r="G30" s="19">
        <f>[53]실험기록부!$G$9</f>
        <v>3.7963199999999993</v>
      </c>
      <c r="H30" s="20">
        <f>[53]실험기록부!$H$9</f>
        <v>210000</v>
      </c>
      <c r="I30" s="27">
        <f>[54]커버3!$G$12</f>
        <v>552</v>
      </c>
      <c r="J30" s="96">
        <f>[53]일반사항!$D$26</f>
        <v>21.05</v>
      </c>
    </row>
    <row r="31" spans="1:10" ht="20.100000000000001" customHeight="1">
      <c r="A31" s="25">
        <f>[55]일반사항!$B$4</f>
        <v>44467</v>
      </c>
      <c r="B31" s="16">
        <f>[55]일반사항!$E$26</f>
        <v>7.1950000000000003</v>
      </c>
      <c r="C31" s="45">
        <f>[55]실험기록부!$C$9</f>
        <v>188</v>
      </c>
      <c r="D31" s="17">
        <f>[55]실험기록부!$D$9</f>
        <v>73.871323947264003</v>
      </c>
      <c r="E31" s="18">
        <f>[55]실험기록부!$E$9</f>
        <v>200</v>
      </c>
      <c r="F31" s="19">
        <f>[55]실험기록부!$F$9</f>
        <v>27.484800000000003</v>
      </c>
      <c r="G31" s="19">
        <f>[55]실험기록부!$G$9</f>
        <v>5.1681600000000003</v>
      </c>
      <c r="H31" s="20">
        <f>[55]실험기록부!$H$9</f>
        <v>170000</v>
      </c>
      <c r="I31" s="27">
        <f>[56]커버3!$G$12</f>
        <v>579</v>
      </c>
      <c r="J31" s="96">
        <f>[55]일반사항!$D$26</f>
        <v>21.05</v>
      </c>
    </row>
    <row r="32" spans="1:10" ht="20.100000000000001" customHeight="1">
      <c r="A32" s="25">
        <f>[57]일반사항!$B$4</f>
        <v>44468</v>
      </c>
      <c r="B32" s="16">
        <f>[57]일반사항!$E$26</f>
        <v>7.5149999999999997</v>
      </c>
      <c r="C32" s="45">
        <f>[57]실험기록부!$C$9</f>
        <v>169</v>
      </c>
      <c r="D32" s="17">
        <f>[57]실험기록부!$D$9</f>
        <v>73.847481071648005</v>
      </c>
      <c r="E32" s="18">
        <f>[57]실험기록부!$E$9</f>
        <v>153.3333333333336</v>
      </c>
      <c r="F32" s="19">
        <f>[57]실험기록부!$F$9</f>
        <v>44.244000000000007</v>
      </c>
      <c r="G32" s="19">
        <f>[57]실험기록부!$G$9</f>
        <v>4.8432000000000004</v>
      </c>
      <c r="H32" s="20">
        <f>[57]실험기록부!$H$9</f>
        <v>140000</v>
      </c>
      <c r="I32" s="27">
        <f>[58]커버3!$G$12</f>
        <v>699</v>
      </c>
      <c r="J32" s="96">
        <f>[57]일반사항!$D$26</f>
        <v>21.6</v>
      </c>
    </row>
    <row r="33" spans="1:10" ht="20.100000000000001" customHeight="1" thickBot="1">
      <c r="A33" s="28">
        <f>[59]일반사항!$B$4</f>
        <v>44469</v>
      </c>
      <c r="B33" s="29">
        <f>[59]일반사항!$E$26</f>
        <v>7.3900000000000006</v>
      </c>
      <c r="C33" s="46">
        <f>[59]실험기록부!$C$9</f>
        <v>217</v>
      </c>
      <c r="D33" s="30">
        <f>[59]실험기록부!$D$9</f>
        <v>88.078361512735995</v>
      </c>
      <c r="E33" s="31">
        <f>[59]실험기록부!$E$9</f>
        <v>226.66666666666703</v>
      </c>
      <c r="F33" s="32">
        <f>[59]실험기록부!$F$9</f>
        <v>34.067999999999991</v>
      </c>
      <c r="G33" s="32">
        <f>[59]실험기록부!$G$9</f>
        <v>3.52224</v>
      </c>
      <c r="H33" s="33">
        <f>[59]실험기록부!$H$9</f>
        <v>220000</v>
      </c>
      <c r="I33" s="34">
        <f>[60]커버3!$G$12</f>
        <v>744</v>
      </c>
      <c r="J33" s="96">
        <f>[59]일반사항!$D$26</f>
        <v>21.1</v>
      </c>
    </row>
    <row r="34" spans="1:10" ht="20.100000000000001" hidden="1" customHeight="1" thickTop="1">
      <c r="A34" s="100"/>
      <c r="B34" s="101"/>
      <c r="C34" s="102"/>
      <c r="D34" s="103"/>
      <c r="E34" s="104"/>
      <c r="F34" s="105"/>
      <c r="G34" s="105"/>
      <c r="H34" s="106"/>
      <c r="I34" s="107"/>
      <c r="J34" s="96"/>
    </row>
    <row r="35" spans="1:10" ht="20.100000000000001" customHeight="1" thickTop="1">
      <c r="A35" s="15" t="s">
        <v>0</v>
      </c>
      <c r="B35" s="37">
        <f t="shared" ref="B35:I35" si="0">MAX(B4:B33)</f>
        <v>7.54</v>
      </c>
      <c r="C35" s="35">
        <f t="shared" si="0"/>
        <v>219.375</v>
      </c>
      <c r="D35" s="35">
        <f t="shared" si="0"/>
        <v>112.29941383172</v>
      </c>
      <c r="E35" s="35">
        <f t="shared" si="0"/>
        <v>240.00000000000009</v>
      </c>
      <c r="F35" s="40">
        <f t="shared" si="0"/>
        <v>69.523200000000003</v>
      </c>
      <c r="G35" s="40">
        <f t="shared" si="0"/>
        <v>7.2854399999999995</v>
      </c>
      <c r="H35" s="97">
        <f t="shared" si="0"/>
        <v>230000</v>
      </c>
      <c r="I35" s="84">
        <f t="shared" si="0"/>
        <v>976</v>
      </c>
    </row>
    <row r="36" spans="1:10" ht="20.100000000000001" customHeight="1">
      <c r="A36" s="1" t="s">
        <v>1</v>
      </c>
      <c r="B36" s="38">
        <f t="shared" ref="B36:I36" si="1">MIN(B5:B33)</f>
        <v>7.1349999999999998</v>
      </c>
      <c r="C36" s="4">
        <f t="shared" si="1"/>
        <v>158.25</v>
      </c>
      <c r="D36" s="4">
        <f t="shared" si="1"/>
        <v>30.652088232379999</v>
      </c>
      <c r="E36" s="4">
        <f t="shared" si="1"/>
        <v>126.66666666666657</v>
      </c>
      <c r="F36" s="41">
        <f t="shared" si="1"/>
        <v>23.985599999999998</v>
      </c>
      <c r="G36" s="41">
        <f t="shared" si="1"/>
        <v>2.3064</v>
      </c>
      <c r="H36" s="98">
        <f t="shared" si="1"/>
        <v>140000</v>
      </c>
      <c r="I36" s="85">
        <f t="shared" si="1"/>
        <v>552</v>
      </c>
    </row>
    <row r="37" spans="1:10" ht="20.100000000000001" customHeight="1" thickBot="1">
      <c r="A37" s="2" t="s">
        <v>2</v>
      </c>
      <c r="B37" s="39">
        <f t="shared" ref="B37:I37" si="2">AVERAGE(B4:B33)</f>
        <v>7.3779999999999992</v>
      </c>
      <c r="C37" s="36">
        <f t="shared" si="2"/>
        <v>193.65833333333333</v>
      </c>
      <c r="D37" s="36">
        <f t="shared" si="2"/>
        <v>62.956558407569666</v>
      </c>
      <c r="E37" s="36">
        <f t="shared" si="2"/>
        <v>192.88888888888894</v>
      </c>
      <c r="F37" s="42">
        <f t="shared" si="2"/>
        <v>40.766679999999994</v>
      </c>
      <c r="G37" s="42">
        <f t="shared" si="2"/>
        <v>4.2504799999999996</v>
      </c>
      <c r="H37" s="99">
        <f t="shared" si="2"/>
        <v>186333.33333333334</v>
      </c>
      <c r="I37" s="86">
        <f t="shared" si="2"/>
        <v>721.76666666666665</v>
      </c>
      <c r="J37" s="61">
        <f>I37*30</f>
        <v>21653</v>
      </c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7"/>
  <sheetViews>
    <sheetView tabSelected="1" view="pageBreakPreview" zoomScaleSheetLayoutView="100" workbookViewId="0">
      <pane xSplit="1" ySplit="3" topLeftCell="B16" activePane="bottomRight" state="frozen"/>
      <selection activeCell="K12" sqref="K12"/>
      <selection pane="topRight" activeCell="K12" sqref="K12"/>
      <selection pane="bottomLeft" activeCell="K12" sqref="K12"/>
      <selection pane="bottomRight" activeCell="K12" sqref="K12"/>
    </sheetView>
  </sheetViews>
  <sheetFormatPr defaultRowHeight="16.5"/>
  <cols>
    <col min="1" max="1" width="9.875" customWidth="1"/>
    <col min="2" max="2" width="9" style="3"/>
    <col min="3" max="3" width="9" style="43"/>
    <col min="4" max="5" width="9" style="5"/>
    <col min="6" max="6" width="9" style="6" customWidth="1"/>
    <col min="7" max="7" width="9" style="6"/>
    <col min="8" max="8" width="9" style="8" customWidth="1"/>
    <col min="9" max="9" width="9" style="7" customWidth="1"/>
    <col min="10" max="10" width="9.5" bestFit="1" customWidth="1"/>
    <col min="11" max="11" width="9.5" customWidth="1"/>
  </cols>
  <sheetData>
    <row r="1" spans="1:18" ht="24.95" customHeight="1" thickBot="1">
      <c r="A1" s="114" t="s">
        <v>26</v>
      </c>
      <c r="B1" s="114"/>
      <c r="C1" s="114"/>
      <c r="D1" s="114"/>
      <c r="E1" s="114"/>
      <c r="F1" s="114"/>
      <c r="G1" s="114"/>
      <c r="H1" s="114"/>
      <c r="I1" s="114"/>
    </row>
    <row r="2" spans="1:18" ht="20.100000000000001" customHeight="1">
      <c r="A2" s="109" t="s">
        <v>14</v>
      </c>
      <c r="B2" s="111" t="s">
        <v>13</v>
      </c>
      <c r="C2" s="112"/>
      <c r="D2" s="112"/>
      <c r="E2" s="112"/>
      <c r="F2" s="112"/>
      <c r="G2" s="112"/>
      <c r="H2" s="112"/>
      <c r="I2" s="113"/>
    </row>
    <row r="3" spans="1:18" ht="24.95" customHeight="1" thickBot="1">
      <c r="A3" s="110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21</v>
      </c>
    </row>
    <row r="4" spans="1:18" ht="20.100000000000001" customHeight="1" thickTop="1">
      <c r="A4" s="21">
        <f>[1]일반사항!$B$4</f>
        <v>44440</v>
      </c>
      <c r="B4" s="57">
        <f>[1]일반사항!$E$27</f>
        <v>6.9450000000000003</v>
      </c>
      <c r="C4" s="91">
        <f>[1]실험기록부!$C$10</f>
        <v>16.14</v>
      </c>
      <c r="D4" s="92">
        <f>[1]실험기록부!$D$10</f>
        <v>7.9731087071499998</v>
      </c>
      <c r="E4" s="93">
        <f>[1]실험기록부!$E$10</f>
        <v>18</v>
      </c>
      <c r="F4" s="94">
        <f>[1]실험기록부!$F$10</f>
        <v>2.90448</v>
      </c>
      <c r="G4" s="94">
        <f>[1]실험기록부!$G$10</f>
        <v>0.45417600000000002</v>
      </c>
      <c r="H4" s="95">
        <f>[1]실험기록부!$H$10</f>
        <v>690</v>
      </c>
      <c r="I4" s="26"/>
      <c r="K4" s="62">
        <f>IF(B4&gt;0,B4,"")</f>
        <v>6.9450000000000003</v>
      </c>
      <c r="L4" s="63">
        <f t="shared" ref="L4:P4" si="0">IF(C4&gt;0,C4,"")</f>
        <v>16.14</v>
      </c>
      <c r="M4" s="63">
        <f t="shared" si="0"/>
        <v>7.9731087071499998</v>
      </c>
      <c r="N4" s="63">
        <f t="shared" si="0"/>
        <v>18</v>
      </c>
      <c r="O4" s="63">
        <f t="shared" si="0"/>
        <v>2.90448</v>
      </c>
      <c r="P4" s="63">
        <f t="shared" si="0"/>
        <v>0.45417600000000002</v>
      </c>
      <c r="Q4" s="64">
        <f>IF(H4&gt;0,H4,"")</f>
        <v>690</v>
      </c>
      <c r="R4" s="65" t="str">
        <f>IF(I4&gt;0,I4,"")</f>
        <v/>
      </c>
    </row>
    <row r="5" spans="1:18" ht="20.100000000000001" customHeight="1">
      <c r="A5" s="25">
        <f>[3]일반사항!$B$4</f>
        <v>44441</v>
      </c>
      <c r="B5" s="58">
        <f>[3]일반사항!$E$27</f>
        <v>6.9649999999999999</v>
      </c>
      <c r="C5" s="51">
        <f>[3]실험기록부!$C$10</f>
        <v>15.78</v>
      </c>
      <c r="D5" s="52">
        <f>[3]실험기록부!$D$10</f>
        <v>32.07983345905</v>
      </c>
      <c r="E5" s="53">
        <f>[3]실험기록부!$E$10</f>
        <v>14.800000000000011</v>
      </c>
      <c r="F5" s="48">
        <f>[3]실험기록부!$F$10</f>
        <v>6.1319999999999997</v>
      </c>
      <c r="G5" s="48">
        <f>[3]실험기록부!$G$10</f>
        <v>0.45014399999999993</v>
      </c>
      <c r="H5" s="47">
        <f>[3]실험기록부!$H$10</f>
        <v>900</v>
      </c>
      <c r="I5" s="27"/>
      <c r="K5" s="65">
        <f t="shared" ref="K5:K33" si="1">IF(B5&gt;0,B5,"")</f>
        <v>6.9649999999999999</v>
      </c>
      <c r="L5" s="66">
        <f t="shared" ref="L5:L33" si="2">IF(C5&gt;0,C5,"")</f>
        <v>15.78</v>
      </c>
      <c r="M5" s="66">
        <f t="shared" ref="M5:M33" si="3">IF(D5&gt;0,D5,"")</f>
        <v>32.07983345905</v>
      </c>
      <c r="N5" s="66">
        <f t="shared" ref="N5:N33" si="4">IF(E5&gt;0,E5,"")</f>
        <v>14.800000000000011</v>
      </c>
      <c r="O5" s="66">
        <f t="shared" ref="O5:O33" si="5">IF(F5&gt;0,F5,"")</f>
        <v>6.1319999999999997</v>
      </c>
      <c r="P5" s="66">
        <f t="shared" ref="P5:P33" si="6">IF(G5&gt;0,G5,"")</f>
        <v>0.45014399999999993</v>
      </c>
      <c r="Q5" s="67">
        <f t="shared" ref="Q5:Q33" si="7">IF(H5&gt;0,H5,"")</f>
        <v>900</v>
      </c>
      <c r="R5" s="65" t="str">
        <f t="shared" ref="R5:R20" si="8">IF(I5&gt;0,I5,"")</f>
        <v/>
      </c>
    </row>
    <row r="6" spans="1:18" ht="20.100000000000001" customHeight="1">
      <c r="A6" s="25">
        <f>[5]일반사항!$B$4</f>
        <v>44442</v>
      </c>
      <c r="B6" s="58">
        <f>[5]일반사항!$E$27</f>
        <v>6.9350000000000005</v>
      </c>
      <c r="C6" s="51">
        <f>[5]실험기록부!$C$10</f>
        <v>11.7</v>
      </c>
      <c r="D6" s="52">
        <f>[5]실험기록부!$D$10</f>
        <v>4.5479402056960003</v>
      </c>
      <c r="E6" s="53">
        <f>[5]실험기록부!$E$10</f>
        <v>12.399999999999979</v>
      </c>
      <c r="F6" s="48">
        <f>[5]실험기록부!$F$10</f>
        <v>6.3355200000000007</v>
      </c>
      <c r="G6" s="48">
        <f>[5]실험기록부!$G$10</f>
        <v>0.40838400000000008</v>
      </c>
      <c r="H6" s="47">
        <f>[5]실험기록부!$H$10</f>
        <v>710</v>
      </c>
      <c r="I6" s="27"/>
      <c r="K6" s="65">
        <f t="shared" si="1"/>
        <v>6.9350000000000005</v>
      </c>
      <c r="L6" s="66">
        <f t="shared" si="2"/>
        <v>11.7</v>
      </c>
      <c r="M6" s="66">
        <f t="shared" si="3"/>
        <v>4.5479402056960003</v>
      </c>
      <c r="N6" s="66">
        <f t="shared" si="4"/>
        <v>12.399999999999979</v>
      </c>
      <c r="O6" s="66">
        <f t="shared" si="5"/>
        <v>6.3355200000000007</v>
      </c>
      <c r="P6" s="66">
        <f t="shared" si="6"/>
        <v>0.40838400000000008</v>
      </c>
      <c r="Q6" s="67">
        <f t="shared" si="7"/>
        <v>710</v>
      </c>
      <c r="R6" s="65" t="str">
        <f t="shared" si="8"/>
        <v/>
      </c>
    </row>
    <row r="7" spans="1:18" ht="20.100000000000001" customHeight="1">
      <c r="A7" s="25">
        <f>[7]일반사항!$B$4</f>
        <v>44443</v>
      </c>
      <c r="B7" s="58">
        <f>[7]일반사항!$E$27</f>
        <v>0</v>
      </c>
      <c r="C7" s="51">
        <f>[7]실험기록부!$C$10</f>
        <v>0</v>
      </c>
      <c r="D7" s="52">
        <f>[7]실험기록부!$D$10</f>
        <v>0</v>
      </c>
      <c r="E7" s="53">
        <f>[7]실험기록부!$E$10</f>
        <v>0</v>
      </c>
      <c r="F7" s="48">
        <f>[7]실험기록부!$F$10</f>
        <v>0</v>
      </c>
      <c r="G7" s="48">
        <f>[7]실험기록부!$G$10</f>
        <v>0</v>
      </c>
      <c r="H7" s="47">
        <f>[7]실험기록부!$H$10</f>
        <v>0</v>
      </c>
      <c r="I7" s="27"/>
      <c r="K7" s="65" t="str">
        <f t="shared" si="1"/>
        <v/>
      </c>
      <c r="L7" s="66" t="str">
        <f t="shared" si="2"/>
        <v/>
      </c>
      <c r="M7" s="66" t="str">
        <f t="shared" si="3"/>
        <v/>
      </c>
      <c r="N7" s="66" t="str">
        <f t="shared" si="4"/>
        <v/>
      </c>
      <c r="O7" s="66" t="str">
        <f t="shared" si="5"/>
        <v/>
      </c>
      <c r="P7" s="66" t="str">
        <f t="shared" si="6"/>
        <v/>
      </c>
      <c r="Q7" s="67" t="str">
        <f t="shared" si="7"/>
        <v/>
      </c>
      <c r="R7" s="65" t="str">
        <f t="shared" si="8"/>
        <v/>
      </c>
    </row>
    <row r="8" spans="1:18" ht="20.100000000000001" customHeight="1">
      <c r="A8" s="25">
        <f>[9]일반사항!$B$4</f>
        <v>44444</v>
      </c>
      <c r="B8" s="58">
        <f>[9]일반사항!$E$27</f>
        <v>0</v>
      </c>
      <c r="C8" s="51">
        <f>[9]실험기록부!$C$10</f>
        <v>0</v>
      </c>
      <c r="D8" s="52">
        <f>[9]실험기록부!$D$10</f>
        <v>0</v>
      </c>
      <c r="E8" s="53">
        <f>[9]실험기록부!$E$10</f>
        <v>0</v>
      </c>
      <c r="F8" s="48">
        <f>[9]실험기록부!$F$10</f>
        <v>0</v>
      </c>
      <c r="G8" s="48">
        <f>[9]실험기록부!$G$10</f>
        <v>0</v>
      </c>
      <c r="H8" s="47">
        <f>[9]실험기록부!$H$10</f>
        <v>0</v>
      </c>
      <c r="I8" s="27"/>
      <c r="K8" s="65" t="str">
        <f t="shared" si="1"/>
        <v/>
      </c>
      <c r="L8" s="66" t="str">
        <f t="shared" si="2"/>
        <v/>
      </c>
      <c r="M8" s="66" t="str">
        <f t="shared" si="3"/>
        <v/>
      </c>
      <c r="N8" s="66" t="str">
        <f t="shared" si="4"/>
        <v/>
      </c>
      <c r="O8" s="66" t="str">
        <f t="shared" si="5"/>
        <v/>
      </c>
      <c r="P8" s="66" t="str">
        <f t="shared" si="6"/>
        <v/>
      </c>
      <c r="Q8" s="67" t="str">
        <f t="shared" si="7"/>
        <v/>
      </c>
      <c r="R8" s="65" t="str">
        <f t="shared" si="8"/>
        <v/>
      </c>
    </row>
    <row r="9" spans="1:18" ht="20.100000000000001" customHeight="1">
      <c r="A9" s="25">
        <f>[11]일반사항!$B$4</f>
        <v>44445</v>
      </c>
      <c r="B9" s="58">
        <f>[11]일반사항!$E$27</f>
        <v>6.93</v>
      </c>
      <c r="C9" s="51">
        <f>[11]실험기록부!$C$10</f>
        <v>16.02</v>
      </c>
      <c r="D9" s="52">
        <f>[11]실험기록부!$D$10</f>
        <v>9.7816697796619998</v>
      </c>
      <c r="E9" s="53">
        <f>[11]실험기록부!$E$10</f>
        <v>17.199999999999989</v>
      </c>
      <c r="F9" s="48">
        <f>[11]실험기록부!$F$10</f>
        <v>6.4257599999999995</v>
      </c>
      <c r="G9" s="48">
        <f>[11]실험기록부!$G$10</f>
        <v>0.37478400000000001</v>
      </c>
      <c r="H9" s="47">
        <f>[11]실험기록부!$H$10</f>
        <v>900</v>
      </c>
      <c r="I9" s="27"/>
      <c r="K9" s="65">
        <f t="shared" si="1"/>
        <v>6.93</v>
      </c>
      <c r="L9" s="66">
        <f t="shared" si="2"/>
        <v>16.02</v>
      </c>
      <c r="M9" s="66">
        <f t="shared" si="3"/>
        <v>9.7816697796619998</v>
      </c>
      <c r="N9" s="66">
        <f t="shared" si="4"/>
        <v>17.199999999999989</v>
      </c>
      <c r="O9" s="66">
        <f t="shared" si="5"/>
        <v>6.4257599999999995</v>
      </c>
      <c r="P9" s="66">
        <f t="shared" si="6"/>
        <v>0.37478400000000001</v>
      </c>
      <c r="Q9" s="67">
        <f t="shared" si="7"/>
        <v>900</v>
      </c>
      <c r="R9" s="65" t="str">
        <f t="shared" si="8"/>
        <v/>
      </c>
    </row>
    <row r="10" spans="1:18" ht="20.100000000000001" customHeight="1">
      <c r="A10" s="25">
        <f>[13]일반사항!$B$4</f>
        <v>44446</v>
      </c>
      <c r="B10" s="58">
        <f>[13]일반사항!$E$27</f>
        <v>6.9050000000000002</v>
      </c>
      <c r="C10" s="51">
        <f>[13]실험기록부!$C$10</f>
        <v>14.46</v>
      </c>
      <c r="D10" s="52">
        <f>[13]실험기록부!$D$10</f>
        <v>17.642053774731998</v>
      </c>
      <c r="E10" s="53">
        <f>[13]실험기록부!$E$10</f>
        <v>13.600000000000021</v>
      </c>
      <c r="F10" s="48">
        <f>[13]실험기록부!$F$10</f>
        <v>7.8921599999999987</v>
      </c>
      <c r="G10" s="48">
        <f>[13]실험기록부!$G$10</f>
        <v>0.38068800000000008</v>
      </c>
      <c r="H10" s="47">
        <f>[13]실험기록부!$H$10</f>
        <v>630</v>
      </c>
      <c r="I10" s="27"/>
      <c r="K10" s="65">
        <f t="shared" si="1"/>
        <v>6.9050000000000002</v>
      </c>
      <c r="L10" s="66">
        <f t="shared" si="2"/>
        <v>14.46</v>
      </c>
      <c r="M10" s="66">
        <f t="shared" si="3"/>
        <v>17.642053774731998</v>
      </c>
      <c r="N10" s="66">
        <f t="shared" si="4"/>
        <v>13.600000000000021</v>
      </c>
      <c r="O10" s="66">
        <f t="shared" si="5"/>
        <v>7.8921599999999987</v>
      </c>
      <c r="P10" s="66">
        <f t="shared" si="6"/>
        <v>0.38068800000000008</v>
      </c>
      <c r="Q10" s="67">
        <f t="shared" si="7"/>
        <v>630</v>
      </c>
      <c r="R10" s="65" t="str">
        <f t="shared" si="8"/>
        <v/>
      </c>
    </row>
    <row r="11" spans="1:18" ht="20.100000000000001" customHeight="1">
      <c r="A11" s="25">
        <f>[15]일반사항!$B$4</f>
        <v>44447</v>
      </c>
      <c r="B11" s="58">
        <f>[15]일반사항!$E$27</f>
        <v>6.8949999999999996</v>
      </c>
      <c r="C11" s="51">
        <f>[15]실험기록부!$C$10</f>
        <v>13.680000000000001</v>
      </c>
      <c r="D11" s="52">
        <f>[15]실험기록부!$D$10</f>
        <v>14.620572190820001</v>
      </c>
      <c r="E11" s="53">
        <f>[15]실험기록부!$E$10</f>
        <v>20.800000000000011</v>
      </c>
      <c r="F11" s="48">
        <f>[15]실험기록부!$F$10</f>
        <v>8.0654399999999988</v>
      </c>
      <c r="G11" s="48">
        <f>[15]실험기록부!$G$10</f>
        <v>0.23932799999999996</v>
      </c>
      <c r="H11" s="47">
        <f>[15]실험기록부!$H$10</f>
        <v>580</v>
      </c>
      <c r="I11" s="27"/>
      <c r="K11" s="65">
        <f t="shared" si="1"/>
        <v>6.8949999999999996</v>
      </c>
      <c r="L11" s="66">
        <f t="shared" si="2"/>
        <v>13.680000000000001</v>
      </c>
      <c r="M11" s="66">
        <f t="shared" si="3"/>
        <v>14.620572190820001</v>
      </c>
      <c r="N11" s="66">
        <f t="shared" si="4"/>
        <v>20.800000000000011</v>
      </c>
      <c r="O11" s="66">
        <f t="shared" si="5"/>
        <v>8.0654399999999988</v>
      </c>
      <c r="P11" s="66">
        <f t="shared" si="6"/>
        <v>0.23932799999999996</v>
      </c>
      <c r="Q11" s="67">
        <f t="shared" si="7"/>
        <v>580</v>
      </c>
      <c r="R11" s="65" t="str">
        <f t="shared" si="8"/>
        <v/>
      </c>
    </row>
    <row r="12" spans="1:18" ht="20.100000000000001" customHeight="1">
      <c r="A12" s="25">
        <f>[17]일반사항!$B$4</f>
        <v>44448</v>
      </c>
      <c r="B12" s="58">
        <f>[17]일반사항!$E$27</f>
        <v>6.9050000000000002</v>
      </c>
      <c r="C12" s="51">
        <f>[17]실험기록부!$C$10</f>
        <v>15.059999999999999</v>
      </c>
      <c r="D12" s="52">
        <f>[17]실험기록부!$D$10</f>
        <v>13.248825459416</v>
      </c>
      <c r="E12" s="53">
        <f>[17]실험기록부!$E$10</f>
        <v>16.800000000000011</v>
      </c>
      <c r="F12" s="48">
        <f>[17]실험기록부!$F$10</f>
        <v>7.1447999999999992</v>
      </c>
      <c r="G12" s="48">
        <f>[17]실험기록부!$G$10</f>
        <v>0.45801600000000009</v>
      </c>
      <c r="H12" s="47">
        <f>[17]실험기록부!$H$10</f>
        <v>670</v>
      </c>
      <c r="I12" s="27"/>
      <c r="K12" s="65">
        <f t="shared" si="1"/>
        <v>6.9050000000000002</v>
      </c>
      <c r="L12" s="66">
        <f t="shared" si="2"/>
        <v>15.059999999999999</v>
      </c>
      <c r="M12" s="66">
        <f t="shared" si="3"/>
        <v>13.248825459416</v>
      </c>
      <c r="N12" s="66">
        <f t="shared" si="4"/>
        <v>16.800000000000011</v>
      </c>
      <c r="O12" s="66">
        <f t="shared" si="5"/>
        <v>7.1447999999999992</v>
      </c>
      <c r="P12" s="66">
        <f t="shared" si="6"/>
        <v>0.45801600000000009</v>
      </c>
      <c r="Q12" s="67">
        <f t="shared" si="7"/>
        <v>670</v>
      </c>
      <c r="R12" s="65" t="str">
        <f t="shared" si="8"/>
        <v/>
      </c>
    </row>
    <row r="13" spans="1:18" ht="20.100000000000001" customHeight="1">
      <c r="A13" s="25">
        <f>[19]일반사항!$B$4</f>
        <v>44449</v>
      </c>
      <c r="B13" s="58">
        <f>[19]일반사항!$E$27</f>
        <v>6.915</v>
      </c>
      <c r="C13" s="51">
        <f>[19]실험기록부!$C$10</f>
        <v>10.619999999999997</v>
      </c>
      <c r="D13" s="52">
        <f>[19]실험기록부!$D$10</f>
        <v>4.7359735290960003</v>
      </c>
      <c r="E13" s="53">
        <f>[19]실험기록부!$E$10</f>
        <v>9.1999999999999886</v>
      </c>
      <c r="F13" s="48">
        <f>[19]실험기록부!$F$10</f>
        <v>6.3355200000000007</v>
      </c>
      <c r="G13" s="48">
        <f>[19]실험기록부!$G$10</f>
        <v>0.40838400000000008</v>
      </c>
      <c r="H13" s="47">
        <f>[19]실험기록부!$H$10</f>
        <v>820</v>
      </c>
      <c r="I13" s="27"/>
      <c r="K13" s="65">
        <f t="shared" si="1"/>
        <v>6.915</v>
      </c>
      <c r="L13" s="66">
        <f t="shared" si="2"/>
        <v>10.619999999999997</v>
      </c>
      <c r="M13" s="66">
        <f t="shared" si="3"/>
        <v>4.7359735290960003</v>
      </c>
      <c r="N13" s="66">
        <f t="shared" si="4"/>
        <v>9.1999999999999886</v>
      </c>
      <c r="O13" s="66">
        <f t="shared" si="5"/>
        <v>6.3355200000000007</v>
      </c>
      <c r="P13" s="66">
        <f t="shared" si="6"/>
        <v>0.40838400000000008</v>
      </c>
      <c r="Q13" s="67">
        <f t="shared" si="7"/>
        <v>820</v>
      </c>
      <c r="R13" s="65" t="str">
        <f t="shared" si="8"/>
        <v/>
      </c>
    </row>
    <row r="14" spans="1:18" ht="20.100000000000001" customHeight="1">
      <c r="A14" s="25">
        <f>[21]일반사항!$B$4</f>
        <v>44450</v>
      </c>
      <c r="B14" s="58">
        <f>[21]일반사항!$E$27</f>
        <v>0</v>
      </c>
      <c r="C14" s="51">
        <f>[21]실험기록부!$C$10</f>
        <v>0</v>
      </c>
      <c r="D14" s="52">
        <f>[21]실험기록부!$D$10</f>
        <v>0</v>
      </c>
      <c r="E14" s="53">
        <f>[21]실험기록부!$E$10</f>
        <v>0</v>
      </c>
      <c r="F14" s="48">
        <f>[21]실험기록부!$F$10</f>
        <v>0</v>
      </c>
      <c r="G14" s="48">
        <f>[21]실험기록부!$G$10</f>
        <v>0</v>
      </c>
      <c r="H14" s="47">
        <f>[21]실험기록부!$H$10</f>
        <v>0</v>
      </c>
      <c r="I14" s="27"/>
      <c r="K14" s="65" t="str">
        <f t="shared" si="1"/>
        <v/>
      </c>
      <c r="L14" s="66" t="str">
        <f t="shared" si="2"/>
        <v/>
      </c>
      <c r="M14" s="66" t="str">
        <f t="shared" si="3"/>
        <v/>
      </c>
      <c r="N14" s="66" t="str">
        <f t="shared" si="4"/>
        <v/>
      </c>
      <c r="O14" s="66" t="str">
        <f t="shared" si="5"/>
        <v/>
      </c>
      <c r="P14" s="66" t="str">
        <f t="shared" si="6"/>
        <v/>
      </c>
      <c r="Q14" s="67" t="str">
        <f t="shared" si="7"/>
        <v/>
      </c>
      <c r="R14" s="65" t="str">
        <f t="shared" si="8"/>
        <v/>
      </c>
    </row>
    <row r="15" spans="1:18" ht="20.100000000000001" customHeight="1">
      <c r="A15" s="25">
        <f>[23]일반사항!$B$4</f>
        <v>44451</v>
      </c>
      <c r="B15" s="58">
        <f>[23]일반사항!$E$27</f>
        <v>0</v>
      </c>
      <c r="C15" s="51">
        <f>[23]실험기록부!$C$10</f>
        <v>0</v>
      </c>
      <c r="D15" s="52">
        <f>[23]실험기록부!$D$10</f>
        <v>0</v>
      </c>
      <c r="E15" s="53">
        <f>[23]실험기록부!$E$10</f>
        <v>0</v>
      </c>
      <c r="F15" s="48">
        <f>[23]실험기록부!$F$10</f>
        <v>0</v>
      </c>
      <c r="G15" s="48">
        <f>[23]실험기록부!$G$10</f>
        <v>0</v>
      </c>
      <c r="H15" s="47">
        <f>[23]실험기록부!$H$10</f>
        <v>0</v>
      </c>
      <c r="I15" s="27"/>
      <c r="K15" s="65" t="str">
        <f t="shared" si="1"/>
        <v/>
      </c>
      <c r="L15" s="66" t="str">
        <f t="shared" si="2"/>
        <v/>
      </c>
      <c r="M15" s="66" t="str">
        <f t="shared" si="3"/>
        <v/>
      </c>
      <c r="N15" s="66" t="str">
        <f t="shared" si="4"/>
        <v/>
      </c>
      <c r="O15" s="66" t="str">
        <f t="shared" si="5"/>
        <v/>
      </c>
      <c r="P15" s="66" t="str">
        <f t="shared" si="6"/>
        <v/>
      </c>
      <c r="Q15" s="67" t="str">
        <f t="shared" si="7"/>
        <v/>
      </c>
      <c r="R15" s="65" t="str">
        <f t="shared" si="8"/>
        <v/>
      </c>
    </row>
    <row r="16" spans="1:18" ht="20.100000000000001" customHeight="1">
      <c r="A16" s="25">
        <f>[25]일반사항!$B$4</f>
        <v>44452</v>
      </c>
      <c r="B16" s="58">
        <f>[25]일반사항!$E$27</f>
        <v>8.4550000000000001</v>
      </c>
      <c r="C16" s="51">
        <f>[25]실험기록부!$C$10</f>
        <v>13.589999999999998</v>
      </c>
      <c r="D16" s="52">
        <f>[25]실험기록부!$D$10</f>
        <v>18.303224976044</v>
      </c>
      <c r="E16" s="53">
        <f>[25]실험기록부!$E$10</f>
        <v>17.600000000000023</v>
      </c>
      <c r="F16" s="48">
        <f>[25]실험기록부!$F$10</f>
        <v>9.3528000000000002</v>
      </c>
      <c r="G16" s="48">
        <f>[25]실험기록부!$G$10</f>
        <v>0.40838400000000008</v>
      </c>
      <c r="H16" s="47">
        <f>[25]실험기록부!$H$10</f>
        <v>810</v>
      </c>
      <c r="I16" s="27"/>
      <c r="K16" s="65">
        <f t="shared" si="1"/>
        <v>8.4550000000000001</v>
      </c>
      <c r="L16" s="66">
        <f t="shared" si="2"/>
        <v>13.589999999999998</v>
      </c>
      <c r="M16" s="66">
        <f t="shared" si="3"/>
        <v>18.303224976044</v>
      </c>
      <c r="N16" s="66">
        <f t="shared" si="4"/>
        <v>17.600000000000023</v>
      </c>
      <c r="O16" s="66">
        <f t="shared" si="5"/>
        <v>9.3528000000000002</v>
      </c>
      <c r="P16" s="66">
        <f t="shared" si="6"/>
        <v>0.40838400000000008</v>
      </c>
      <c r="Q16" s="67">
        <f t="shared" si="7"/>
        <v>810</v>
      </c>
      <c r="R16" s="65" t="str">
        <f t="shared" si="8"/>
        <v/>
      </c>
    </row>
    <row r="17" spans="1:18" ht="20.100000000000001" customHeight="1">
      <c r="A17" s="25">
        <f>[27]일반사항!$B$4</f>
        <v>44453</v>
      </c>
      <c r="B17" s="58">
        <f>[27]일반사항!$E$27</f>
        <v>6.94</v>
      </c>
      <c r="C17" s="51">
        <f>[27]실험기록부!$C$10</f>
        <v>15.150000000000002</v>
      </c>
      <c r="D17" s="52">
        <f>[27]실험기록부!$D$10</f>
        <v>4.4221232607580001</v>
      </c>
      <c r="E17" s="53">
        <f>[27]실험기록부!$E$10</f>
        <v>14.800000000000011</v>
      </c>
      <c r="F17" s="48">
        <f>[27]실험기록부!$F$10</f>
        <v>7.4366399999999997</v>
      </c>
      <c r="G17" s="48">
        <f>[27]실험기록부!$G$10</f>
        <v>0.43464000000000008</v>
      </c>
      <c r="H17" s="47">
        <f>[27]실험기록부!$H$10</f>
        <v>490</v>
      </c>
      <c r="I17" s="27"/>
      <c r="K17" s="65">
        <f t="shared" si="1"/>
        <v>6.94</v>
      </c>
      <c r="L17" s="66">
        <f t="shared" si="2"/>
        <v>15.150000000000002</v>
      </c>
      <c r="M17" s="66">
        <f t="shared" si="3"/>
        <v>4.4221232607580001</v>
      </c>
      <c r="N17" s="66">
        <f t="shared" si="4"/>
        <v>14.800000000000011</v>
      </c>
      <c r="O17" s="66">
        <f t="shared" si="5"/>
        <v>7.4366399999999997</v>
      </c>
      <c r="P17" s="66">
        <f t="shared" si="6"/>
        <v>0.43464000000000008</v>
      </c>
      <c r="Q17" s="67">
        <f t="shared" si="7"/>
        <v>490</v>
      </c>
      <c r="R17" s="65" t="str">
        <f t="shared" si="8"/>
        <v/>
      </c>
    </row>
    <row r="18" spans="1:18" ht="20.100000000000001" customHeight="1">
      <c r="A18" s="25">
        <f>[29]일반사항!$B$4</f>
        <v>44454</v>
      </c>
      <c r="B18" s="58">
        <f>[29]일반사항!$E$27</f>
        <v>6.915</v>
      </c>
      <c r="C18" s="51">
        <f>[29]실험기록부!$C$10</f>
        <v>12.629999999999997</v>
      </c>
      <c r="D18" s="52">
        <f>[29]실험기록부!$D$10</f>
        <v>2.9474126431040002</v>
      </c>
      <c r="E18" s="53">
        <f>[29]실험기록부!$E$10</f>
        <v>16.800000000000011</v>
      </c>
      <c r="F18" s="48">
        <f>[29]실험기록부!$F$10</f>
        <v>7.7107199999999994</v>
      </c>
      <c r="G18" s="48">
        <f>[29]실험기록부!$G$10</f>
        <v>9.6575999999999981E-2</v>
      </c>
      <c r="H18" s="47">
        <f>[29]실험기록부!$H$10</f>
        <v>700</v>
      </c>
      <c r="I18" s="27"/>
      <c r="K18" s="65">
        <f t="shared" si="1"/>
        <v>6.915</v>
      </c>
      <c r="L18" s="66">
        <f t="shared" si="2"/>
        <v>12.629999999999997</v>
      </c>
      <c r="M18" s="66">
        <f t="shared" si="3"/>
        <v>2.9474126431040002</v>
      </c>
      <c r="N18" s="66">
        <f t="shared" si="4"/>
        <v>16.800000000000011</v>
      </c>
      <c r="O18" s="66">
        <f t="shared" si="5"/>
        <v>7.7107199999999994</v>
      </c>
      <c r="P18" s="66">
        <f t="shared" si="6"/>
        <v>9.6575999999999981E-2</v>
      </c>
      <c r="Q18" s="67">
        <f t="shared" si="7"/>
        <v>700</v>
      </c>
      <c r="R18" s="65" t="str">
        <f t="shared" si="8"/>
        <v/>
      </c>
    </row>
    <row r="19" spans="1:18" ht="20.100000000000001" customHeight="1">
      <c r="A19" s="25">
        <f>[31]일반사항!$B$4</f>
        <v>44455</v>
      </c>
      <c r="B19" s="58">
        <f>[31]일반사항!$E$27</f>
        <v>6.9050000000000002</v>
      </c>
      <c r="C19" s="51">
        <f>[31]실험기록부!$C$10</f>
        <v>14.430000000000001</v>
      </c>
      <c r="D19" s="52">
        <f>[31]실험기록부!$D$10</f>
        <v>17.228614667479999</v>
      </c>
      <c r="E19" s="53">
        <f>[31]실험기록부!$E$10</f>
        <v>14.800000000000011</v>
      </c>
      <c r="F19" s="48">
        <f>[31]실험기록부!$F$10</f>
        <v>6.0993599999999999</v>
      </c>
      <c r="G19" s="48">
        <f>[31]실험기록부!$G$10</f>
        <v>0.52843200000000001</v>
      </c>
      <c r="H19" s="47">
        <f>[31]실험기록부!$H$10</f>
        <v>670</v>
      </c>
      <c r="I19" s="27"/>
      <c r="K19" s="65">
        <f t="shared" si="1"/>
        <v>6.9050000000000002</v>
      </c>
      <c r="L19" s="66">
        <f t="shared" si="2"/>
        <v>14.430000000000001</v>
      </c>
      <c r="M19" s="66">
        <f t="shared" si="3"/>
        <v>17.228614667479999</v>
      </c>
      <c r="N19" s="66">
        <f t="shared" si="4"/>
        <v>14.800000000000011</v>
      </c>
      <c r="O19" s="66">
        <f t="shared" si="5"/>
        <v>6.0993599999999999</v>
      </c>
      <c r="P19" s="66">
        <f t="shared" si="6"/>
        <v>0.52843200000000001</v>
      </c>
      <c r="Q19" s="67">
        <f t="shared" si="7"/>
        <v>670</v>
      </c>
      <c r="R19" s="65" t="str">
        <f t="shared" si="8"/>
        <v/>
      </c>
    </row>
    <row r="20" spans="1:18" ht="20.100000000000001" customHeight="1">
      <c r="A20" s="25">
        <f>[33]일반사항!$B$4</f>
        <v>44456</v>
      </c>
      <c r="B20" s="58">
        <f>[33]일반사항!$E$27</f>
        <v>6.915</v>
      </c>
      <c r="C20" s="51">
        <f>[33]실험기록부!$C$10</f>
        <v>11.96</v>
      </c>
      <c r="D20" s="52">
        <f>[33]실험기록부!$D$10</f>
        <v>17.925324899456001</v>
      </c>
      <c r="E20" s="53">
        <f>[33]실험기록부!$E$10</f>
        <v>14.800000000000011</v>
      </c>
      <c r="F20" s="48">
        <f>[33]실험기록부!$F$10</f>
        <v>7.3819199999999991</v>
      </c>
      <c r="G20" s="48">
        <f>[33]실험기록부!$G$10</f>
        <v>0.16622399999999998</v>
      </c>
      <c r="H20" s="47">
        <f>[33]실험기록부!$H$10</f>
        <v>580</v>
      </c>
      <c r="I20" s="27"/>
      <c r="K20" s="65">
        <f t="shared" si="1"/>
        <v>6.915</v>
      </c>
      <c r="L20" s="66">
        <f t="shared" si="2"/>
        <v>11.96</v>
      </c>
      <c r="M20" s="66">
        <f t="shared" si="3"/>
        <v>17.925324899456001</v>
      </c>
      <c r="N20" s="66">
        <f t="shared" si="4"/>
        <v>14.800000000000011</v>
      </c>
      <c r="O20" s="66">
        <f t="shared" si="5"/>
        <v>7.3819199999999991</v>
      </c>
      <c r="P20" s="66">
        <f t="shared" si="6"/>
        <v>0.16622399999999998</v>
      </c>
      <c r="Q20" s="67">
        <f t="shared" si="7"/>
        <v>580</v>
      </c>
      <c r="R20" s="65" t="str">
        <f t="shared" si="8"/>
        <v/>
      </c>
    </row>
    <row r="21" spans="1:18" ht="20.100000000000001" customHeight="1">
      <c r="A21" s="25">
        <f>[35]일반사항!$B$4</f>
        <v>44457</v>
      </c>
      <c r="B21" s="58">
        <f>[35]일반사항!$E$27</f>
        <v>0</v>
      </c>
      <c r="C21" s="51">
        <f>[35]실험기록부!$C$10</f>
        <v>0</v>
      </c>
      <c r="D21" s="52">
        <f>[35]실험기록부!$D$10</f>
        <v>0</v>
      </c>
      <c r="E21" s="53">
        <f>[35]실험기록부!$E$10</f>
        <v>0</v>
      </c>
      <c r="F21" s="48">
        <f>[35]실험기록부!$F$10</f>
        <v>0</v>
      </c>
      <c r="G21" s="48">
        <f>[35]실험기록부!$G$10</f>
        <v>0</v>
      </c>
      <c r="H21" s="47">
        <f>[35]실험기록부!$H$10</f>
        <v>0</v>
      </c>
      <c r="I21" s="27"/>
      <c r="K21" s="65" t="str">
        <f t="shared" si="1"/>
        <v/>
      </c>
      <c r="L21" s="66" t="str">
        <f t="shared" si="2"/>
        <v/>
      </c>
      <c r="M21" s="66" t="str">
        <f t="shared" si="3"/>
        <v/>
      </c>
      <c r="N21" s="66" t="str">
        <f t="shared" si="4"/>
        <v/>
      </c>
      <c r="O21" s="66" t="str">
        <f t="shared" si="5"/>
        <v/>
      </c>
      <c r="P21" s="66" t="str">
        <f t="shared" si="6"/>
        <v/>
      </c>
      <c r="Q21" s="67" t="str">
        <f t="shared" si="7"/>
        <v/>
      </c>
      <c r="R21" s="65"/>
    </row>
    <row r="22" spans="1:18" ht="20.100000000000001" customHeight="1">
      <c r="A22" s="25">
        <f>[37]일반사항!$B$4</f>
        <v>44458</v>
      </c>
      <c r="B22" s="58">
        <f>[37]일반사항!$E$27</f>
        <v>0</v>
      </c>
      <c r="C22" s="51">
        <f>[37]실험기록부!$C$10</f>
        <v>0</v>
      </c>
      <c r="D22" s="52">
        <f>[37]실험기록부!$D$10</f>
        <v>0</v>
      </c>
      <c r="E22" s="53">
        <f>[37]실험기록부!$E$10</f>
        <v>0</v>
      </c>
      <c r="F22" s="48">
        <f>[37]실험기록부!$F$10</f>
        <v>0</v>
      </c>
      <c r="G22" s="48">
        <f>[37]실험기록부!$G$10</f>
        <v>0</v>
      </c>
      <c r="H22" s="47">
        <f>[37]실험기록부!$H$10</f>
        <v>0</v>
      </c>
      <c r="I22" s="27"/>
      <c r="K22" s="65" t="str">
        <f t="shared" si="1"/>
        <v/>
      </c>
      <c r="L22" s="66" t="str">
        <f t="shared" si="2"/>
        <v/>
      </c>
      <c r="M22" s="66" t="str">
        <f t="shared" si="3"/>
        <v/>
      </c>
      <c r="N22" s="66" t="str">
        <f t="shared" si="4"/>
        <v/>
      </c>
      <c r="O22" s="66" t="str">
        <f t="shared" si="5"/>
        <v/>
      </c>
      <c r="P22" s="66" t="str">
        <f t="shared" si="6"/>
        <v/>
      </c>
      <c r="Q22" s="67" t="str">
        <f t="shared" si="7"/>
        <v/>
      </c>
      <c r="R22" s="65"/>
    </row>
    <row r="23" spans="1:18" ht="20.100000000000001" customHeight="1">
      <c r="A23" s="25">
        <f>[39]일반사항!$B$4</f>
        <v>44459</v>
      </c>
      <c r="B23" s="58">
        <f>[39]일반사항!$E$27</f>
        <v>0</v>
      </c>
      <c r="C23" s="51">
        <f>[39]실험기록부!$C$10</f>
        <v>0</v>
      </c>
      <c r="D23" s="52">
        <f>[39]실험기록부!$D$10</f>
        <v>0</v>
      </c>
      <c r="E23" s="53">
        <f>[39]실험기록부!$E$10</f>
        <v>0</v>
      </c>
      <c r="F23" s="48">
        <f>[39]실험기록부!$F$10</f>
        <v>0</v>
      </c>
      <c r="G23" s="48">
        <f>[39]실험기록부!$G$10</f>
        <v>0</v>
      </c>
      <c r="H23" s="47">
        <f>[39]실험기록부!$H$10</f>
        <v>0</v>
      </c>
      <c r="I23" s="27"/>
      <c r="K23" s="65" t="str">
        <f t="shared" si="1"/>
        <v/>
      </c>
      <c r="L23" s="66" t="str">
        <f t="shared" si="2"/>
        <v/>
      </c>
      <c r="M23" s="66" t="str">
        <f t="shared" si="3"/>
        <v/>
      </c>
      <c r="N23" s="66" t="str">
        <f t="shared" si="4"/>
        <v/>
      </c>
      <c r="O23" s="66" t="str">
        <f t="shared" si="5"/>
        <v/>
      </c>
      <c r="P23" s="66" t="str">
        <f t="shared" si="6"/>
        <v/>
      </c>
      <c r="Q23" s="67" t="str">
        <f t="shared" si="7"/>
        <v/>
      </c>
      <c r="R23" s="65"/>
    </row>
    <row r="24" spans="1:18" ht="20.100000000000001" customHeight="1">
      <c r="A24" s="25">
        <f>[41]일반사항!$B$4</f>
        <v>44460</v>
      </c>
      <c r="B24" s="58">
        <f>[41]일반사항!$E$27</f>
        <v>0</v>
      </c>
      <c r="C24" s="51">
        <f>[41]실험기록부!$C$10</f>
        <v>0</v>
      </c>
      <c r="D24" s="52">
        <f>[41]실험기록부!$D$10</f>
        <v>0</v>
      </c>
      <c r="E24" s="53">
        <f>[41]실험기록부!$E$10</f>
        <v>0</v>
      </c>
      <c r="F24" s="48">
        <f>[41]실험기록부!$F$10</f>
        <v>0</v>
      </c>
      <c r="G24" s="48">
        <f>[41]실험기록부!$G$10</f>
        <v>0</v>
      </c>
      <c r="H24" s="47">
        <f>[41]실험기록부!$H$10</f>
        <v>0</v>
      </c>
      <c r="I24" s="27"/>
      <c r="K24" s="65" t="str">
        <f t="shared" si="1"/>
        <v/>
      </c>
      <c r="L24" s="66" t="str">
        <f t="shared" si="2"/>
        <v/>
      </c>
      <c r="M24" s="66" t="str">
        <f t="shared" si="3"/>
        <v/>
      </c>
      <c r="N24" s="66" t="str">
        <f t="shared" si="4"/>
        <v/>
      </c>
      <c r="O24" s="66" t="str">
        <f t="shared" si="5"/>
        <v/>
      </c>
      <c r="P24" s="66" t="str">
        <f t="shared" si="6"/>
        <v/>
      </c>
      <c r="Q24" s="67" t="str">
        <f t="shared" si="7"/>
        <v/>
      </c>
      <c r="R24" s="65"/>
    </row>
    <row r="25" spans="1:18" ht="20.100000000000001" customHeight="1">
      <c r="A25" s="25">
        <f>[43]일반사항!$B$4</f>
        <v>44461</v>
      </c>
      <c r="B25" s="58">
        <f>[43]일반사항!$E$27</f>
        <v>0</v>
      </c>
      <c r="C25" s="51">
        <f>[43]실험기록부!$C$10</f>
        <v>0</v>
      </c>
      <c r="D25" s="52">
        <f>[43]실험기록부!$D$10</f>
        <v>0</v>
      </c>
      <c r="E25" s="53">
        <f>[43]실험기록부!$E$10</f>
        <v>0</v>
      </c>
      <c r="F25" s="48">
        <f>[43]실험기록부!$F$10</f>
        <v>0</v>
      </c>
      <c r="G25" s="48">
        <f>[43]실험기록부!$G$10</f>
        <v>0</v>
      </c>
      <c r="H25" s="47">
        <f>[43]실험기록부!$H$10</f>
        <v>0</v>
      </c>
      <c r="I25" s="27"/>
      <c r="K25" s="65" t="str">
        <f t="shared" si="1"/>
        <v/>
      </c>
      <c r="L25" s="66" t="str">
        <f t="shared" si="2"/>
        <v/>
      </c>
      <c r="M25" s="66" t="str">
        <f t="shared" si="3"/>
        <v/>
      </c>
      <c r="N25" s="66" t="str">
        <f t="shared" si="4"/>
        <v/>
      </c>
      <c r="O25" s="66" t="str">
        <f t="shared" si="5"/>
        <v/>
      </c>
      <c r="P25" s="66" t="str">
        <f t="shared" si="6"/>
        <v/>
      </c>
      <c r="Q25" s="67" t="str">
        <f t="shared" si="7"/>
        <v/>
      </c>
      <c r="R25" s="65"/>
    </row>
    <row r="26" spans="1:18" ht="20.100000000000001" customHeight="1">
      <c r="A26" s="25">
        <f>[45]일반사항!$B$4</f>
        <v>44462</v>
      </c>
      <c r="B26" s="58">
        <f>[45]일반사항!$E$27</f>
        <v>6.9</v>
      </c>
      <c r="C26" s="51">
        <f>[45]실험기록부!$C$10</f>
        <v>13.319999999999999</v>
      </c>
      <c r="D26" s="52">
        <f>[45]실험기록부!$D$10</f>
        <v>19.700906983544002</v>
      </c>
      <c r="E26" s="53">
        <f>[45]실험기록부!$E$10</f>
        <v>15.199999999999989</v>
      </c>
      <c r="F26" s="48">
        <f>[45]실험기록부!$F$10</f>
        <v>8.0476799999999997</v>
      </c>
      <c r="G26" s="48">
        <f>[45]실험기록부!$G$10</f>
        <v>0.32529600000000003</v>
      </c>
      <c r="H26" s="47">
        <f>[45]실험기록부!$H$10</f>
        <v>720</v>
      </c>
      <c r="I26" s="27"/>
      <c r="K26" s="65">
        <f t="shared" si="1"/>
        <v>6.9</v>
      </c>
      <c r="L26" s="66">
        <f t="shared" si="2"/>
        <v>13.319999999999999</v>
      </c>
      <c r="M26" s="66">
        <f t="shared" si="3"/>
        <v>19.700906983544002</v>
      </c>
      <c r="N26" s="66">
        <f t="shared" si="4"/>
        <v>15.199999999999989</v>
      </c>
      <c r="O26" s="66">
        <f t="shared" si="5"/>
        <v>8.0476799999999997</v>
      </c>
      <c r="P26" s="66">
        <f t="shared" si="6"/>
        <v>0.32529600000000003</v>
      </c>
      <c r="Q26" s="67">
        <f t="shared" si="7"/>
        <v>720</v>
      </c>
      <c r="R26" s="65"/>
    </row>
    <row r="27" spans="1:18" ht="20.100000000000001" customHeight="1">
      <c r="A27" s="25">
        <f>[47]일반사항!$B$4</f>
        <v>44463</v>
      </c>
      <c r="B27" s="58">
        <f>[47]일반사항!$E$27</f>
        <v>6.9</v>
      </c>
      <c r="C27" s="51">
        <f>[47]실험기록부!$C$10</f>
        <v>9.120000000000001</v>
      </c>
      <c r="D27" s="52">
        <f>[47]실험기록부!$D$10</f>
        <v>7.8971594227519999</v>
      </c>
      <c r="E27" s="53">
        <f>[47]실험기록부!$E$10</f>
        <v>12.800000000000011</v>
      </c>
      <c r="F27" s="48">
        <f>[47]실험기록부!$F$10</f>
        <v>8.0870399999999982</v>
      </c>
      <c r="G27" s="48">
        <f>[47]실험기록부!$G$10</f>
        <v>0.35049599999999997</v>
      </c>
      <c r="H27" s="47">
        <f>[47]실험기록부!$H$10</f>
        <v>760</v>
      </c>
      <c r="I27" s="27"/>
      <c r="K27" s="65">
        <f t="shared" si="1"/>
        <v>6.9</v>
      </c>
      <c r="L27" s="66">
        <f t="shared" si="2"/>
        <v>9.120000000000001</v>
      </c>
      <c r="M27" s="66">
        <f t="shared" si="3"/>
        <v>7.8971594227519999</v>
      </c>
      <c r="N27" s="66">
        <f t="shared" si="4"/>
        <v>12.800000000000011</v>
      </c>
      <c r="O27" s="66">
        <f t="shared" si="5"/>
        <v>8.0870399999999982</v>
      </c>
      <c r="P27" s="66">
        <f t="shared" si="6"/>
        <v>0.35049599999999997</v>
      </c>
      <c r="Q27" s="67">
        <f t="shared" si="7"/>
        <v>760</v>
      </c>
      <c r="R27" s="65"/>
    </row>
    <row r="28" spans="1:18" ht="20.100000000000001" customHeight="1">
      <c r="A28" s="25">
        <f>[49]일반사항!$B$4</f>
        <v>44464</v>
      </c>
      <c r="B28" s="58">
        <f>[49]일반사항!$E$27</f>
        <v>0</v>
      </c>
      <c r="C28" s="51">
        <f>[49]실험기록부!$C$10</f>
        <v>0</v>
      </c>
      <c r="D28" s="52">
        <f>[49]실험기록부!$D$10</f>
        <v>0</v>
      </c>
      <c r="E28" s="53">
        <f>[49]실험기록부!$E$10</f>
        <v>0</v>
      </c>
      <c r="F28" s="48">
        <f>[49]실험기록부!$F$10</f>
        <v>0</v>
      </c>
      <c r="G28" s="48">
        <f>[49]실험기록부!$G$10</f>
        <v>0</v>
      </c>
      <c r="H28" s="47">
        <f>[49]실험기록부!$H$10</f>
        <v>0</v>
      </c>
      <c r="I28" s="27"/>
      <c r="J28" s="14"/>
      <c r="K28" s="65" t="str">
        <f t="shared" si="1"/>
        <v/>
      </c>
      <c r="L28" s="66" t="str">
        <f t="shared" si="2"/>
        <v/>
      </c>
      <c r="M28" s="66" t="str">
        <f t="shared" si="3"/>
        <v/>
      </c>
      <c r="N28" s="66" t="str">
        <f t="shared" si="4"/>
        <v/>
      </c>
      <c r="O28" s="66" t="str">
        <f t="shared" si="5"/>
        <v/>
      </c>
      <c r="P28" s="66" t="str">
        <f t="shared" si="6"/>
        <v/>
      </c>
      <c r="Q28" s="67" t="str">
        <f t="shared" si="7"/>
        <v/>
      </c>
      <c r="R28" s="65"/>
    </row>
    <row r="29" spans="1:18" ht="20.100000000000001" customHeight="1">
      <c r="A29" s="25">
        <f>[51]일반사항!$B$4</f>
        <v>44465</v>
      </c>
      <c r="B29" s="58">
        <f>[51]일반사항!$E$27</f>
        <v>0</v>
      </c>
      <c r="C29" s="51">
        <f>[51]실험기록부!$C$10</f>
        <v>0</v>
      </c>
      <c r="D29" s="52">
        <f>[51]실험기록부!$D$10</f>
        <v>0</v>
      </c>
      <c r="E29" s="53">
        <f>[51]실험기록부!$E$10</f>
        <v>0</v>
      </c>
      <c r="F29" s="48">
        <f>[51]실험기록부!$F$10</f>
        <v>0</v>
      </c>
      <c r="G29" s="48">
        <f>[51]실험기록부!$G$10</f>
        <v>0</v>
      </c>
      <c r="H29" s="47">
        <f>[51]실험기록부!$H$10</f>
        <v>0</v>
      </c>
      <c r="I29" s="27"/>
      <c r="K29" s="65" t="str">
        <f t="shared" si="1"/>
        <v/>
      </c>
      <c r="L29" s="66" t="str">
        <f t="shared" si="2"/>
        <v/>
      </c>
      <c r="M29" s="66" t="str">
        <f t="shared" si="3"/>
        <v/>
      </c>
      <c r="N29" s="66" t="str">
        <f t="shared" si="4"/>
        <v/>
      </c>
      <c r="O29" s="66" t="str">
        <f t="shared" si="5"/>
        <v/>
      </c>
      <c r="P29" s="66" t="str">
        <f t="shared" si="6"/>
        <v/>
      </c>
      <c r="Q29" s="67" t="str">
        <f t="shared" si="7"/>
        <v/>
      </c>
      <c r="R29" s="65"/>
    </row>
    <row r="30" spans="1:18" ht="20.100000000000001" customHeight="1">
      <c r="A30" s="25">
        <f>[53]일반사항!$B$4</f>
        <v>44466</v>
      </c>
      <c r="B30" s="58">
        <f>[53]일반사항!$E$27</f>
        <v>6.915</v>
      </c>
      <c r="C30" s="51">
        <f>[53]실험기록부!$C$10</f>
        <v>14.969999999999999</v>
      </c>
      <c r="D30" s="52">
        <f>[53]실험기록부!$D$10</f>
        <v>11.100591716736</v>
      </c>
      <c r="E30" s="53">
        <f>[53]실험기록부!$E$10</f>
        <v>16.800000000000011</v>
      </c>
      <c r="F30" s="48">
        <f>[53]실험기록부!$F$10</f>
        <v>6.4670399999999999</v>
      </c>
      <c r="G30" s="48">
        <f>[53]실험기록부!$G$10</f>
        <v>0.39772799999999997</v>
      </c>
      <c r="H30" s="47">
        <f>[53]실험기록부!$H$10</f>
        <v>480</v>
      </c>
      <c r="I30" s="27"/>
      <c r="K30" s="65">
        <f t="shared" si="1"/>
        <v>6.915</v>
      </c>
      <c r="L30" s="66">
        <f t="shared" si="2"/>
        <v>14.969999999999999</v>
      </c>
      <c r="M30" s="66">
        <f t="shared" si="3"/>
        <v>11.100591716736</v>
      </c>
      <c r="N30" s="66">
        <f t="shared" si="4"/>
        <v>16.800000000000011</v>
      </c>
      <c r="O30" s="66">
        <f t="shared" si="5"/>
        <v>6.4670399999999999</v>
      </c>
      <c r="P30" s="66">
        <f t="shared" si="6"/>
        <v>0.39772799999999997</v>
      </c>
      <c r="Q30" s="67">
        <f t="shared" si="7"/>
        <v>480</v>
      </c>
      <c r="R30" s="65"/>
    </row>
    <row r="31" spans="1:18" ht="20.100000000000001" customHeight="1">
      <c r="A31" s="25">
        <f>[55]일반사항!$B$4</f>
        <v>44467</v>
      </c>
      <c r="B31" s="58">
        <f>[55]일반사항!$E$27</f>
        <v>6.9050000000000002</v>
      </c>
      <c r="C31" s="51">
        <f>[55]실험기록부!$C$10</f>
        <v>15.674999999999999</v>
      </c>
      <c r="D31" s="52">
        <f>[55]실험기록부!$D$10</f>
        <v>8.8594209195680005</v>
      </c>
      <c r="E31" s="53">
        <f>[55]실험기록부!$E$10</f>
        <v>13.600000000000021</v>
      </c>
      <c r="F31" s="48">
        <f>[55]실험기록부!$F$10</f>
        <v>3.4665599999999999</v>
      </c>
      <c r="G31" s="48">
        <f>[55]실험기록부!$G$10</f>
        <v>0.303504</v>
      </c>
      <c r="H31" s="47">
        <f>[55]실험기록부!$H$10</f>
        <v>790</v>
      </c>
      <c r="I31" s="27"/>
      <c r="K31" s="65">
        <f t="shared" si="1"/>
        <v>6.9050000000000002</v>
      </c>
      <c r="L31" s="66">
        <f t="shared" si="2"/>
        <v>15.674999999999999</v>
      </c>
      <c r="M31" s="66">
        <f t="shared" si="3"/>
        <v>8.8594209195680005</v>
      </c>
      <c r="N31" s="66">
        <f t="shared" si="4"/>
        <v>13.600000000000021</v>
      </c>
      <c r="O31" s="66">
        <f t="shared" si="5"/>
        <v>3.4665599999999999</v>
      </c>
      <c r="P31" s="66">
        <f t="shared" si="6"/>
        <v>0.303504</v>
      </c>
      <c r="Q31" s="67">
        <f t="shared" si="7"/>
        <v>790</v>
      </c>
      <c r="R31" s="65"/>
    </row>
    <row r="32" spans="1:18" ht="20.100000000000001" customHeight="1">
      <c r="A32" s="25">
        <f>[57]일반사항!$B$4</f>
        <v>44468</v>
      </c>
      <c r="B32" s="58">
        <f>[57]일반사항!$E$27</f>
        <v>6.9249999999999998</v>
      </c>
      <c r="C32" s="51">
        <f>[57]실험기록부!$C$10</f>
        <v>16.162500000000001</v>
      </c>
      <c r="D32" s="52">
        <f>[57]실험기록부!$D$10</f>
        <v>12.46171320693</v>
      </c>
      <c r="E32" s="53">
        <f>[57]실험기록부!$E$10</f>
        <v>15.600000000000021</v>
      </c>
      <c r="F32" s="48">
        <f>[57]실험기록부!$F$10</f>
        <v>3.5553600000000003</v>
      </c>
      <c r="G32" s="48">
        <f>[57]실험기록부!$G$10</f>
        <v>0.30220800000000003</v>
      </c>
      <c r="H32" s="47">
        <f>[57]실험기록부!$H$10</f>
        <v>460</v>
      </c>
      <c r="I32" s="27"/>
      <c r="K32" s="65">
        <f t="shared" si="1"/>
        <v>6.9249999999999998</v>
      </c>
      <c r="L32" s="66">
        <f t="shared" si="2"/>
        <v>16.162500000000001</v>
      </c>
      <c r="M32" s="66">
        <f t="shared" si="3"/>
        <v>12.46171320693</v>
      </c>
      <c r="N32" s="66">
        <f t="shared" si="4"/>
        <v>15.600000000000021</v>
      </c>
      <c r="O32" s="66">
        <f t="shared" si="5"/>
        <v>3.5553600000000003</v>
      </c>
      <c r="P32" s="66">
        <f t="shared" si="6"/>
        <v>0.30220800000000003</v>
      </c>
      <c r="Q32" s="67">
        <f t="shared" si="7"/>
        <v>460</v>
      </c>
      <c r="R32" s="65"/>
    </row>
    <row r="33" spans="1:18" ht="20.100000000000001" customHeight="1" thickBot="1">
      <c r="A33" s="28">
        <f>[59]일반사항!$B$4</f>
        <v>44469</v>
      </c>
      <c r="B33" s="59">
        <f>[59]일반사항!$E$27</f>
        <v>6.915</v>
      </c>
      <c r="C33" s="54">
        <f>[59]실험기록부!$C$10</f>
        <v>16.200000000000003</v>
      </c>
      <c r="D33" s="55">
        <f>[59]실험기록부!$D$10</f>
        <v>6.1525476916680004</v>
      </c>
      <c r="E33" s="56">
        <f>[59]실험기록부!$E$10</f>
        <v>13.199999999999989</v>
      </c>
      <c r="F33" s="49">
        <f>[59]실험기록부!$F$10</f>
        <v>6.9796800000000001</v>
      </c>
      <c r="G33" s="49">
        <f>[59]실험기록부!$G$10</f>
        <v>0.32520000000000004</v>
      </c>
      <c r="H33" s="50">
        <f>[59]실험기록부!$H$10</f>
        <v>690</v>
      </c>
      <c r="I33" s="34"/>
      <c r="K33" s="65">
        <f t="shared" si="1"/>
        <v>6.915</v>
      </c>
      <c r="L33" s="66">
        <f t="shared" si="2"/>
        <v>16.200000000000003</v>
      </c>
      <c r="M33" s="66">
        <f t="shared" si="3"/>
        <v>6.1525476916680004</v>
      </c>
      <c r="N33" s="66">
        <f t="shared" si="4"/>
        <v>13.199999999999989</v>
      </c>
      <c r="O33" s="66">
        <f t="shared" si="5"/>
        <v>6.9796800000000001</v>
      </c>
      <c r="P33" s="66">
        <f t="shared" si="6"/>
        <v>0.32520000000000004</v>
      </c>
      <c r="Q33" s="67">
        <f t="shared" si="7"/>
        <v>690</v>
      </c>
      <c r="R33" s="65"/>
    </row>
    <row r="34" spans="1:18" ht="20.100000000000001" customHeight="1" thickTop="1">
      <c r="A34" s="15" t="s">
        <v>0</v>
      </c>
      <c r="B34" s="68">
        <f t="shared" ref="B34:H34" si="9">MAX(B4:B33)</f>
        <v>8.4550000000000001</v>
      </c>
      <c r="C34" s="69">
        <f t="shared" si="9"/>
        <v>16.200000000000003</v>
      </c>
      <c r="D34" s="69">
        <f t="shared" si="9"/>
        <v>32.07983345905</v>
      </c>
      <c r="E34" s="69">
        <f t="shared" si="9"/>
        <v>20.800000000000011</v>
      </c>
      <c r="F34" s="70">
        <f t="shared" si="9"/>
        <v>9.3528000000000002</v>
      </c>
      <c r="G34" s="70">
        <f t="shared" si="9"/>
        <v>0.52843200000000001</v>
      </c>
      <c r="H34" s="71">
        <f t="shared" si="9"/>
        <v>900</v>
      </c>
      <c r="I34" s="87"/>
    </row>
    <row r="35" spans="1:18" ht="20.100000000000001" customHeight="1">
      <c r="A35" s="1" t="s">
        <v>1</v>
      </c>
      <c r="B35" s="72">
        <f t="shared" ref="B35:H35" si="10">MIN(K4:K33)</f>
        <v>6.8949999999999996</v>
      </c>
      <c r="C35" s="73">
        <f t="shared" si="10"/>
        <v>9.120000000000001</v>
      </c>
      <c r="D35" s="73">
        <f t="shared" si="10"/>
        <v>2.9474126431040002</v>
      </c>
      <c r="E35" s="73">
        <f t="shared" si="10"/>
        <v>9.1999999999999886</v>
      </c>
      <c r="F35" s="74">
        <f t="shared" si="10"/>
        <v>2.90448</v>
      </c>
      <c r="G35" s="74">
        <f t="shared" si="10"/>
        <v>9.6575999999999981E-2</v>
      </c>
      <c r="H35" s="47">
        <f t="shared" si="10"/>
        <v>460</v>
      </c>
      <c r="I35" s="79"/>
    </row>
    <row r="36" spans="1:18" ht="20.100000000000001" customHeight="1" thickBot="1">
      <c r="A36" s="2" t="s">
        <v>2</v>
      </c>
      <c r="B36" s="75">
        <f t="shared" ref="B36:H36" si="11">AVERAGEIF(B4:B33,"&gt;0")</f>
        <v>6.9992105263157915</v>
      </c>
      <c r="C36" s="76">
        <f t="shared" si="11"/>
        <v>14.03513157894737</v>
      </c>
      <c r="D36" s="76">
        <f t="shared" si="11"/>
        <v>12.191000920719052</v>
      </c>
      <c r="E36" s="76">
        <f t="shared" si="11"/>
        <v>15.200000000000006</v>
      </c>
      <c r="F36" s="77">
        <f t="shared" si="11"/>
        <v>6.6221305263157895</v>
      </c>
      <c r="G36" s="77">
        <f t="shared" si="11"/>
        <v>0.35855747368421048</v>
      </c>
      <c r="H36" s="78">
        <f t="shared" si="11"/>
        <v>686.84210526315792</v>
      </c>
      <c r="I36" s="80"/>
      <c r="J36" s="61"/>
      <c r="K36" s="61"/>
    </row>
    <row r="37" spans="1:18">
      <c r="H37" s="60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7"/>
  <sheetViews>
    <sheetView tabSelected="1" view="pageBreakPreview" zoomScaleSheetLayoutView="100" workbookViewId="0">
      <pane xSplit="1" ySplit="3" topLeftCell="B13" activePane="bottomRight" state="frozen"/>
      <selection activeCell="K12" sqref="K12"/>
      <selection pane="topRight" activeCell="K12" sqref="K12"/>
      <selection pane="bottomLeft" activeCell="K12" sqref="K12"/>
      <selection pane="bottomRight" activeCell="K12" sqref="K12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9.5" style="6" customWidth="1"/>
    <col min="7" max="7" width="9" style="6"/>
    <col min="8" max="8" width="9" style="8" customWidth="1"/>
    <col min="9" max="9" width="9.5" style="7" customWidth="1"/>
    <col min="10" max="10" width="9.5" bestFit="1" customWidth="1"/>
  </cols>
  <sheetData>
    <row r="1" spans="1:10" ht="24.95" customHeight="1" thickBot="1">
      <c r="A1" s="114" t="s">
        <v>24</v>
      </c>
      <c r="B1" s="114"/>
      <c r="C1" s="114"/>
      <c r="D1" s="114"/>
      <c r="E1" s="114"/>
      <c r="F1" s="114"/>
      <c r="G1" s="114"/>
      <c r="H1" s="114"/>
      <c r="I1" s="114"/>
    </row>
    <row r="2" spans="1:10" ht="20.100000000000001" customHeight="1">
      <c r="A2" s="109" t="s">
        <v>14</v>
      </c>
      <c r="B2" s="111" t="s">
        <v>10</v>
      </c>
      <c r="C2" s="112"/>
      <c r="D2" s="112"/>
      <c r="E2" s="112"/>
      <c r="F2" s="112"/>
      <c r="G2" s="112"/>
      <c r="H2" s="112"/>
      <c r="I2" s="113"/>
    </row>
    <row r="3" spans="1:10" ht="24.95" customHeight="1" thickBot="1">
      <c r="A3" s="110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9</v>
      </c>
      <c r="J3" t="s">
        <v>22</v>
      </c>
    </row>
    <row r="4" spans="1:10" ht="20.100000000000001" customHeight="1" thickTop="1">
      <c r="A4" s="21">
        <f>[1]일반사항!$B$4</f>
        <v>44440</v>
      </c>
      <c r="B4" s="88">
        <f>[1]일반사항!$E$28</f>
        <v>6.9050000000000002</v>
      </c>
      <c r="C4" s="89">
        <f>[1]실험기록부!$C$11</f>
        <v>1.0300000000000002</v>
      </c>
      <c r="D4" s="90">
        <f>[1]실험기록부!$D$11</f>
        <v>5.9214711642999998</v>
      </c>
      <c r="E4" s="22">
        <f>[1]실험기록부!$E$11</f>
        <v>1.8000000000000114</v>
      </c>
      <c r="F4" s="23">
        <f>[1]실험기록부!$F$11</f>
        <v>4.5451199999999998</v>
      </c>
      <c r="G4" s="23">
        <f>[1]실험기록부!$G$11</f>
        <v>5.2607999999999995E-2</v>
      </c>
      <c r="H4" s="24">
        <f>[1]실험기록부!$H$11</f>
        <v>5.5</v>
      </c>
      <c r="I4" s="26">
        <f>[2]커버3!$G$13</f>
        <v>913</v>
      </c>
      <c r="J4" s="96">
        <f>[1]일반사항!$D$28</f>
        <v>22.15</v>
      </c>
    </row>
    <row r="5" spans="1:10" ht="20.100000000000001" customHeight="1">
      <c r="A5" s="25">
        <f>[3]일반사항!$B$4</f>
        <v>44441</v>
      </c>
      <c r="B5" s="16">
        <f>[3]일반사항!$E$28</f>
        <v>6.915</v>
      </c>
      <c r="C5" s="45">
        <f>[3]실험기록부!$C$11</f>
        <v>1.2700000000000005</v>
      </c>
      <c r="D5" s="17">
        <f>[3]실험기록부!$D$11</f>
        <v>14.21207098576</v>
      </c>
      <c r="E5" s="18">
        <f>[3]실험기록부!$E$11</f>
        <v>1.2000000000000171</v>
      </c>
      <c r="F5" s="19">
        <f>[3]실험기록부!$F$11</f>
        <v>5.503680000000001</v>
      </c>
      <c r="G5" s="19">
        <f>[3]실험기록부!$G$11</f>
        <v>5.4432000000000001E-2</v>
      </c>
      <c r="H5" s="20">
        <f>[3]실험기록부!$H$11</f>
        <v>12</v>
      </c>
      <c r="I5" s="27">
        <f>[4]커버3!$G$13</f>
        <v>1040</v>
      </c>
      <c r="J5" s="96">
        <f>[3]일반사항!$D$28</f>
        <v>22.35</v>
      </c>
    </row>
    <row r="6" spans="1:10" ht="20.100000000000001" customHeight="1">
      <c r="A6" s="25">
        <f>[5]일반사항!$B$4</f>
        <v>44442</v>
      </c>
      <c r="B6" s="16">
        <f>[5]일반사항!$E$28</f>
        <v>6.8949999999999996</v>
      </c>
      <c r="C6" s="45">
        <f>[5]실험기록부!$C$11</f>
        <v>1.4700000000000006</v>
      </c>
      <c r="D6" s="17">
        <f>[5]실험기록부!$D$11</f>
        <v>3.7314474099280002</v>
      </c>
      <c r="E6" s="18">
        <f>[5]실험기록부!$E$11</f>
        <v>1.4000000000000057</v>
      </c>
      <c r="F6" s="19">
        <f>[5]실험기록부!$F$11</f>
        <v>5.17584</v>
      </c>
      <c r="G6" s="19">
        <f>[5]실험기록부!$G$11</f>
        <v>4.3296000000000001E-2</v>
      </c>
      <c r="H6" s="20">
        <f>[5]실험기록부!$H$11</f>
        <v>2.5</v>
      </c>
      <c r="I6" s="27">
        <f>[6]커버3!$G$13</f>
        <v>1018</v>
      </c>
      <c r="J6" s="96">
        <f>[5]일반사항!$D$28</f>
        <v>22.3</v>
      </c>
    </row>
    <row r="7" spans="1:10" ht="20.100000000000001" customHeight="1">
      <c r="A7" s="25">
        <f>[7]일반사항!$B$4</f>
        <v>44443</v>
      </c>
      <c r="B7" s="16">
        <f>[7]일반사항!$E$28</f>
        <v>6.9399999999999995</v>
      </c>
      <c r="C7" s="45">
        <f>[7]실험기록부!$C$11</f>
        <v>1.42</v>
      </c>
      <c r="D7" s="17">
        <f>[7]실험기록부!$D$11</f>
        <v>4.1086995534739996</v>
      </c>
      <c r="E7" s="18">
        <f>[7]실험기록부!$E$11</f>
        <v>1.7</v>
      </c>
      <c r="F7" s="19">
        <f>[7]실험기록부!$F$11</f>
        <v>5.2240000000000002</v>
      </c>
      <c r="G7" s="19">
        <f>[7]실험기록부!$G$11</f>
        <v>8.1000000000000003E-2</v>
      </c>
      <c r="H7" s="20">
        <f>[7]실험기록부!$H$11</f>
        <v>7</v>
      </c>
      <c r="I7" s="27">
        <f>[8]커버3!$G$13</f>
        <v>837</v>
      </c>
      <c r="J7" s="96">
        <f>[7]일반사항!$D$28</f>
        <v>22.25</v>
      </c>
    </row>
    <row r="8" spans="1:10" ht="20.100000000000001" customHeight="1">
      <c r="A8" s="25">
        <f>[9]일반사항!$B$4</f>
        <v>44444</v>
      </c>
      <c r="B8" s="16">
        <f>[9]일반사항!$E$28</f>
        <v>6.9550000000000001</v>
      </c>
      <c r="C8" s="45">
        <f>[9]실험기록부!$C$11</f>
        <v>1.21</v>
      </c>
      <c r="D8" s="17">
        <f>[9]실험기록부!$D$11</f>
        <v>4.0473888873739998</v>
      </c>
      <c r="E8" s="18">
        <f>[9]실험기록부!$E$11</f>
        <v>1.7</v>
      </c>
      <c r="F8" s="19">
        <f>[9]실험기록부!$F$11</f>
        <v>4.5940000000000003</v>
      </c>
      <c r="G8" s="19">
        <f>[9]실험기록부!$G$11</f>
        <v>8.3000000000000004E-2</v>
      </c>
      <c r="H8" s="20">
        <f>[9]실험기록부!$H$11</f>
        <v>12</v>
      </c>
      <c r="I8" s="27">
        <f>[10]커버3!$G$13</f>
        <v>708</v>
      </c>
      <c r="J8" s="96">
        <f>[9]일반사항!$D$28</f>
        <v>22.45</v>
      </c>
    </row>
    <row r="9" spans="1:10" ht="20.100000000000001" customHeight="1">
      <c r="A9" s="25">
        <f>[11]일반사항!$B$4</f>
        <v>44445</v>
      </c>
      <c r="B9" s="16">
        <f>[11]일반사항!$E$28</f>
        <v>6.8849999999999998</v>
      </c>
      <c r="C9" s="45">
        <f>[11]실험기록부!$C$11</f>
        <v>1.5100000000000007</v>
      </c>
      <c r="D9" s="17">
        <f>[11]실험기록부!$D$11</f>
        <v>4.4594952244080002</v>
      </c>
      <c r="E9" s="18">
        <f>[11]실험기록부!$E$11</f>
        <v>1.1999999999999886</v>
      </c>
      <c r="F9" s="19">
        <f>[11]실험기록부!$F$11</f>
        <v>7.1049599999999984</v>
      </c>
      <c r="G9" s="19">
        <f>[11]실험기록부!$G$11</f>
        <v>4.958400000000001E-2</v>
      </c>
      <c r="H9" s="20">
        <f>[11]실험기록부!$H$11</f>
        <v>3.5</v>
      </c>
      <c r="I9" s="27">
        <f>[12]커버3!$G$13</f>
        <v>756</v>
      </c>
      <c r="J9" s="96">
        <f>[11]일반사항!$D$28</f>
        <v>21.7</v>
      </c>
    </row>
    <row r="10" spans="1:10" ht="20.100000000000001" customHeight="1">
      <c r="A10" s="25">
        <f>[13]일반사항!$B$4</f>
        <v>44446</v>
      </c>
      <c r="B10" s="16">
        <f>[13]일반사항!$E$28</f>
        <v>6.8550000000000004</v>
      </c>
      <c r="C10" s="45">
        <f>[13]실험기록부!$C$11</f>
        <v>1.2800000000000002</v>
      </c>
      <c r="D10" s="17">
        <f>[13]실험기록부!$D$11</f>
        <v>4.8532820618320001</v>
      </c>
      <c r="E10" s="18">
        <f>[13]실험기록부!$E$11</f>
        <v>1.6000000000000227</v>
      </c>
      <c r="F10" s="19">
        <f>[13]실험기록부!$F$11</f>
        <v>8.0361600000000006</v>
      </c>
      <c r="G10" s="19">
        <f>[13]실험기록부!$G$11</f>
        <v>4.0944000000000001E-2</v>
      </c>
      <c r="H10" s="20">
        <f>[13]실험기록부!$H$11</f>
        <v>7</v>
      </c>
      <c r="I10" s="27">
        <f>[14]커버3!$G$13</f>
        <v>931</v>
      </c>
      <c r="J10" s="96">
        <f>[13]일반사항!$D$28</f>
        <v>21.4</v>
      </c>
    </row>
    <row r="11" spans="1:10" ht="20.100000000000001" customHeight="1">
      <c r="A11" s="25">
        <f>[15]일반사항!$B$4</f>
        <v>44447</v>
      </c>
      <c r="B11" s="16">
        <f>[15]일반사항!$E$28</f>
        <v>6.875</v>
      </c>
      <c r="C11" s="45">
        <f>[15]실험기록부!$C$11</f>
        <v>1.6000000000000005</v>
      </c>
      <c r="D11" s="17">
        <f>[15]실험기록부!$D$11</f>
        <v>3.67546559595</v>
      </c>
      <c r="E11" s="18">
        <f>[15]실험기록부!$E$11</f>
        <v>1.5999999999999943</v>
      </c>
      <c r="F11" s="19">
        <f>[15]실험기록부!$F$11</f>
        <v>7.4337600000000013</v>
      </c>
      <c r="G11" s="19">
        <f>[15]실험기록부!$G$11</f>
        <v>8.6736000000000008E-2</v>
      </c>
      <c r="H11" s="20">
        <f>[15]실험기록부!$H$11</f>
        <v>13</v>
      </c>
      <c r="I11" s="27">
        <f>[16]커버3!$G$13</f>
        <v>1019</v>
      </c>
      <c r="J11" s="96">
        <f>[15]일반사항!$D$28</f>
        <v>22.8</v>
      </c>
    </row>
    <row r="12" spans="1:10" ht="20.100000000000001" customHeight="1">
      <c r="A12" s="25">
        <f>[17]일반사항!$B$4</f>
        <v>44448</v>
      </c>
      <c r="B12" s="16">
        <f>[17]일반사항!$E$28</f>
        <v>6.8550000000000004</v>
      </c>
      <c r="C12" s="45">
        <f>[17]실험기록부!$C$11</f>
        <v>1.0700000000000003</v>
      </c>
      <c r="D12" s="17">
        <f>[17]실험기록부!$D$11</f>
        <v>3.8875225899079999</v>
      </c>
      <c r="E12" s="18">
        <f>[17]실험기록부!$E$11</f>
        <v>1.5999999999999943</v>
      </c>
      <c r="F12" s="19">
        <f>[17]실험기록부!$F$11</f>
        <v>6.5548799999999998</v>
      </c>
      <c r="G12" s="19">
        <f>[17]실험기록부!$G$11</f>
        <v>5.5247999999999998E-2</v>
      </c>
      <c r="H12" s="20">
        <f>[17]실험기록부!$H$11</f>
        <v>4</v>
      </c>
      <c r="I12" s="27">
        <f>[18]커버3!$G$13</f>
        <v>777</v>
      </c>
      <c r="J12" s="96">
        <f>[17]일반사항!$D$28</f>
        <v>22.75</v>
      </c>
    </row>
    <row r="13" spans="1:10" ht="20.100000000000001" customHeight="1">
      <c r="A13" s="25">
        <f>[19]일반사항!$B$4</f>
        <v>44449</v>
      </c>
      <c r="B13" s="16">
        <f>[19]일반사항!$E$28</f>
        <v>6.86</v>
      </c>
      <c r="C13" s="45">
        <f>[19]실험기록부!$C$11</f>
        <v>1.0799999999999992</v>
      </c>
      <c r="D13" s="17">
        <f>[19]실험기록부!$D$11</f>
        <v>3.9538064870879999</v>
      </c>
      <c r="E13" s="18">
        <f>[19]실험기록부!$E$11</f>
        <v>1.1999999999999886</v>
      </c>
      <c r="F13" s="19">
        <f>[19]실험기록부!$F$11</f>
        <v>5.17584</v>
      </c>
      <c r="G13" s="19">
        <f>[19]실험기록부!$G$11</f>
        <v>4.3296000000000001E-2</v>
      </c>
      <c r="H13" s="20">
        <f>[19]실험기록부!$H$11</f>
        <v>5.5</v>
      </c>
      <c r="I13" s="27">
        <f>[20]커버3!$G$13</f>
        <v>670</v>
      </c>
      <c r="J13" s="96">
        <f>[19]일반사항!$D$28</f>
        <v>22.8</v>
      </c>
    </row>
    <row r="14" spans="1:10" ht="20.100000000000001" customHeight="1">
      <c r="A14" s="25">
        <f>[21]일반사항!$B$4</f>
        <v>44450</v>
      </c>
      <c r="B14" s="16">
        <f>[21]일반사항!$E$28</f>
        <v>6.86</v>
      </c>
      <c r="C14" s="45">
        <f>[21]실험기록부!$C$11</f>
        <v>1.4900000000000002</v>
      </c>
      <c r="D14" s="17">
        <f>[21]실험기록부!$D$11</f>
        <v>4.5283518854600002</v>
      </c>
      <c r="E14" s="18">
        <f>[21]실험기록부!$E$11</f>
        <v>1.8</v>
      </c>
      <c r="F14" s="19">
        <f>[21]실험기록부!$F$11</f>
        <v>4.1070000000000002</v>
      </c>
      <c r="G14" s="19">
        <f>[21]실험기록부!$G$11</f>
        <v>0.09</v>
      </c>
      <c r="H14" s="20">
        <f>[21]실험기록부!$H$11</f>
        <v>8.5</v>
      </c>
      <c r="I14" s="27">
        <f>[22]커버3!$G$13</f>
        <v>714</v>
      </c>
      <c r="J14" s="96">
        <f>[21]일반사항!$D$28</f>
        <v>23.2</v>
      </c>
    </row>
    <row r="15" spans="1:10" ht="20.100000000000001" customHeight="1">
      <c r="A15" s="25">
        <f>[23]일반사항!$B$4</f>
        <v>44451</v>
      </c>
      <c r="B15" s="16">
        <f>[23]일반사항!$E$28</f>
        <v>6.8949999999999996</v>
      </c>
      <c r="C15" s="45">
        <f>[23]실험기록부!$C$11</f>
        <v>1.1899999999999995</v>
      </c>
      <c r="D15" s="17">
        <f>[23]실험기록부!$D$11</f>
        <v>4.6949282809759998</v>
      </c>
      <c r="E15" s="18">
        <f>[23]실험기록부!$E$11</f>
        <v>1.7</v>
      </c>
      <c r="F15" s="19">
        <f>[23]실험기록부!$F$11</f>
        <v>4.3869999999999996</v>
      </c>
      <c r="G15" s="19">
        <f>[23]실험기록부!$G$11</f>
        <v>8.8999999999999996E-2</v>
      </c>
      <c r="H15" s="20">
        <f>[23]실험기록부!$H$11</f>
        <v>9</v>
      </c>
      <c r="I15" s="27">
        <f>[24]커버3!$G$13</f>
        <v>657</v>
      </c>
      <c r="J15" s="96">
        <f>[23]일반사항!$D$28</f>
        <v>23.35</v>
      </c>
    </row>
    <row r="16" spans="1:10" ht="20.100000000000001" customHeight="1">
      <c r="A16" s="25">
        <f>[25]일반사항!$B$4</f>
        <v>44452</v>
      </c>
      <c r="B16" s="16">
        <f>[25]일반사항!$E$28</f>
        <v>6.8949999999999996</v>
      </c>
      <c r="C16" s="45">
        <f>[25]실험기록부!$C$11</f>
        <v>1.0999999999999996</v>
      </c>
      <c r="D16" s="17">
        <f>[25]실험기록부!$D$11</f>
        <v>5.0782111037359998</v>
      </c>
      <c r="E16" s="18">
        <f>[25]실험기록부!$E$11</f>
        <v>2</v>
      </c>
      <c r="F16" s="19">
        <f>[25]실험기록부!$F$11</f>
        <v>6.6912000000000003</v>
      </c>
      <c r="G16" s="19">
        <f>[25]실험기록부!$G$11</f>
        <v>3.6912E-2</v>
      </c>
      <c r="H16" s="20">
        <f>[25]실험기록부!$H$11</f>
        <v>5</v>
      </c>
      <c r="I16" s="27">
        <f>[26]커버3!$G$13</f>
        <v>658</v>
      </c>
      <c r="J16" s="96">
        <f>[25]일반사항!$D$28</f>
        <v>22.85</v>
      </c>
    </row>
    <row r="17" spans="1:10" ht="20.100000000000001" customHeight="1">
      <c r="A17" s="25">
        <f>[27]일반사항!$B$4</f>
        <v>44453</v>
      </c>
      <c r="B17" s="16">
        <f>[27]일반사항!$E$28</f>
        <v>6.9050000000000002</v>
      </c>
      <c r="C17" s="45">
        <f>[27]실험기록부!$C$11</f>
        <v>1.3099999999999996</v>
      </c>
      <c r="D17" s="17">
        <f>[27]실험기록부!$D$11</f>
        <v>2.8563775606020001</v>
      </c>
      <c r="E17" s="18">
        <f>[27]실험기록부!$E$11</f>
        <v>1.2000000000000171</v>
      </c>
      <c r="F17" s="19">
        <f>[27]실험기록부!$F$11</f>
        <v>7.2657599999999984</v>
      </c>
      <c r="G17" s="19">
        <f>[27]실험기록부!$G$11</f>
        <v>5.371200000000001E-2</v>
      </c>
      <c r="H17" s="20">
        <f>[27]실험기록부!$H$11</f>
        <v>7.5</v>
      </c>
      <c r="I17" s="27">
        <f>[28]커버3!$G$13</f>
        <v>611</v>
      </c>
      <c r="J17" s="96">
        <f>[27]일반사항!$D$28</f>
        <v>22.55</v>
      </c>
    </row>
    <row r="18" spans="1:10" ht="20.100000000000001" customHeight="1">
      <c r="A18" s="25">
        <f>[29]일반사항!$B$4</f>
        <v>44454</v>
      </c>
      <c r="B18" s="16">
        <f>[29]일반사항!$E$28</f>
        <v>6.8650000000000002</v>
      </c>
      <c r="C18" s="45">
        <f>[29]실험기록부!$C$11</f>
        <v>1.1900000000000004</v>
      </c>
      <c r="D18" s="17">
        <f>[29]실험기록부!$D$11</f>
        <v>3.9227249537120001</v>
      </c>
      <c r="E18" s="18">
        <f>[29]실험기록부!$E$11</f>
        <v>1.8000000000000114</v>
      </c>
      <c r="F18" s="19">
        <f>[29]실험기록부!$F$11</f>
        <v>7.4918399999999989</v>
      </c>
      <c r="G18" s="19">
        <f>[29]실험기록부!$G$11</f>
        <v>5.5247999999999998E-2</v>
      </c>
      <c r="H18" s="20">
        <f>[29]실험기록부!$H$11</f>
        <v>2.5</v>
      </c>
      <c r="I18" s="27">
        <f>[30]커버3!$G$13</f>
        <v>582</v>
      </c>
      <c r="J18" s="96">
        <f>[29]일반사항!$D$28</f>
        <v>22.25</v>
      </c>
    </row>
    <row r="19" spans="1:10" ht="20.100000000000001" customHeight="1">
      <c r="A19" s="25">
        <f>[31]일반사항!$B$4</f>
        <v>44455</v>
      </c>
      <c r="B19" s="16">
        <f>[31]일반사항!$E$28</f>
        <v>6.85</v>
      </c>
      <c r="C19" s="45">
        <f>[31]실험기록부!$C$11</f>
        <v>1.1200000000000001</v>
      </c>
      <c r="D19" s="17">
        <f>[31]실험기록부!$D$11</f>
        <v>6.5478137688039997</v>
      </c>
      <c r="E19" s="18">
        <f>[31]실험기록부!$E$11</f>
        <v>2.1999999999999886</v>
      </c>
      <c r="F19" s="19">
        <f>[31]실험기록부!$F$11</f>
        <v>3.7958400000000005</v>
      </c>
      <c r="G19" s="19">
        <f>[31]실험기록부!$G$11</f>
        <v>8.4288000000000002E-2</v>
      </c>
      <c r="H19" s="20">
        <f>[31]실험기록부!$H$11</f>
        <v>4</v>
      </c>
      <c r="I19" s="27">
        <f>[32]커버3!$G$13</f>
        <v>516</v>
      </c>
      <c r="J19" s="96">
        <f>[31]일반사항!$D$28</f>
        <v>22.15</v>
      </c>
    </row>
    <row r="20" spans="1:10" ht="20.100000000000001" customHeight="1">
      <c r="A20" s="25">
        <f>[33]일반사항!$B$4</f>
        <v>44456</v>
      </c>
      <c r="B20" s="16">
        <f>[33]일반사항!$E$28</f>
        <v>6.85</v>
      </c>
      <c r="C20" s="45">
        <f>[33]실험기록부!$C$11</f>
        <v>1.21</v>
      </c>
      <c r="D20" s="17">
        <f>[33]실험기록부!$D$11</f>
        <v>4.301641263744</v>
      </c>
      <c r="E20" s="18">
        <f>[33]실험기록부!$E$11</f>
        <v>1.7999999999999829</v>
      </c>
      <c r="F20" s="19">
        <f>[33]실험기록부!$F$11</f>
        <v>7.1159999999999997</v>
      </c>
      <c r="G20" s="19">
        <f>[33]실험기록부!$G$11</f>
        <v>5.9951999999999984E-2</v>
      </c>
      <c r="H20" s="20">
        <f>[33]실험기록부!$H$11</f>
        <v>2.5</v>
      </c>
      <c r="I20" s="27">
        <f>[34]커버3!$G$13</f>
        <v>705</v>
      </c>
      <c r="J20" s="96">
        <f>[33]일반사항!$D$28</f>
        <v>22</v>
      </c>
    </row>
    <row r="21" spans="1:10" ht="20.100000000000001" customHeight="1">
      <c r="A21" s="25">
        <f>[35]일반사항!$B$4</f>
        <v>44457</v>
      </c>
      <c r="B21" s="16">
        <f>[35]일반사항!$E$28</f>
        <v>6.8849999999999998</v>
      </c>
      <c r="C21" s="45">
        <f>[35]실험기록부!$C$11</f>
        <v>0.67999999999999972</v>
      </c>
      <c r="D21" s="17">
        <f>[35]실험기록부!$D$11</f>
        <v>6.0823439556540002</v>
      </c>
      <c r="E21" s="18">
        <f>[35]실험기록부!$E$11</f>
        <v>1.7</v>
      </c>
      <c r="F21" s="19">
        <f>[35]실험기록부!$F$11</f>
        <v>3.9540000000000002</v>
      </c>
      <c r="G21" s="19">
        <f>[35]실험기록부!$G$11</f>
        <v>7.2999999999999995E-2</v>
      </c>
      <c r="H21" s="20">
        <f>[35]실험기록부!$H$11</f>
        <v>13</v>
      </c>
      <c r="I21" s="27">
        <f>[36]커버3!$G$13</f>
        <v>936</v>
      </c>
      <c r="J21" s="96">
        <f>[35]일반사항!$D$28</f>
        <v>22.05</v>
      </c>
    </row>
    <row r="22" spans="1:10" ht="20.100000000000001" customHeight="1">
      <c r="A22" s="25">
        <f>[37]일반사항!$B$4</f>
        <v>44458</v>
      </c>
      <c r="B22" s="16">
        <f>[37]일반사항!$E$28</f>
        <v>6.8550000000000004</v>
      </c>
      <c r="C22" s="45">
        <f>[37]실험기록부!$C$11</f>
        <v>1.2200000000000006</v>
      </c>
      <c r="D22" s="17">
        <f>[37]실험기록부!$D$11</f>
        <v>6.1766566618720002</v>
      </c>
      <c r="E22" s="18">
        <f>[37]실험기록부!$E$11</f>
        <v>1.7</v>
      </c>
      <c r="F22" s="19">
        <f>[37]실험기록부!$F$11</f>
        <v>4.4530000000000003</v>
      </c>
      <c r="G22" s="19">
        <f>[37]실험기록부!$G$11</f>
        <v>7.1999999999999995E-2</v>
      </c>
      <c r="H22" s="20">
        <f>[37]실험기록부!$H$11</f>
        <v>7</v>
      </c>
      <c r="I22" s="27">
        <f>[38]커버3!$G$13</f>
        <v>875</v>
      </c>
      <c r="J22" s="96">
        <f>[37]일반사항!$D$28</f>
        <v>21.85</v>
      </c>
    </row>
    <row r="23" spans="1:10" ht="20.100000000000001" customHeight="1">
      <c r="A23" s="25">
        <f>[39]일반사항!$B$4</f>
        <v>44459</v>
      </c>
      <c r="B23" s="16">
        <f>[39]일반사항!$E$28</f>
        <v>6.8449999999999998</v>
      </c>
      <c r="C23" s="45">
        <f>[39]실험기록부!$C$11</f>
        <v>1.7000000000000011</v>
      </c>
      <c r="D23" s="17">
        <f>[39]실험기록부!$D$11</f>
        <v>6.0729090328039996</v>
      </c>
      <c r="E23" s="18">
        <f>[39]실험기록부!$E$11</f>
        <v>1.8</v>
      </c>
      <c r="F23" s="19">
        <f>[39]실험기록부!$F$11</f>
        <v>4.0759999999999996</v>
      </c>
      <c r="G23" s="19">
        <f>[39]실험기록부!$G$11</f>
        <v>9.9000000000000005E-2</v>
      </c>
      <c r="H23" s="20">
        <f>[39]실험기록부!$H$11</f>
        <v>3</v>
      </c>
      <c r="I23" s="27">
        <f>[40]커버3!$G$13</f>
        <v>681</v>
      </c>
      <c r="J23" s="96">
        <f>[39]일반사항!$D$28</f>
        <v>21.8</v>
      </c>
    </row>
    <row r="24" spans="1:10" ht="20.100000000000001" customHeight="1">
      <c r="A24" s="25">
        <f>[41]일반사항!$B$4</f>
        <v>44460</v>
      </c>
      <c r="B24" s="16">
        <f>[41]일반사항!$E$28</f>
        <v>6.6850000000000005</v>
      </c>
      <c r="C24" s="45">
        <f>[41]실험기록부!$C$11</f>
        <v>1.3699999999999992</v>
      </c>
      <c r="D24" s="17">
        <f>[41]실험기록부!$D$11</f>
        <v>3.6685290558700001</v>
      </c>
      <c r="E24" s="18">
        <f>[41]실험기록부!$E$11</f>
        <v>1.8</v>
      </c>
      <c r="F24" s="19">
        <f>[41]실험기록부!$F$11</f>
        <v>6.05</v>
      </c>
      <c r="G24" s="19">
        <f>[41]실험기록부!$G$11</f>
        <v>8.2000000000000003E-2</v>
      </c>
      <c r="H24" s="20">
        <f>[41]실험기록부!$H$11</f>
        <v>8.5</v>
      </c>
      <c r="I24" s="27">
        <f>[42]커버3!$G$13</f>
        <v>851</v>
      </c>
      <c r="J24" s="96">
        <f>[41]일반사항!$D$28</f>
        <v>22.05</v>
      </c>
    </row>
    <row r="25" spans="1:10" ht="20.100000000000001" customHeight="1">
      <c r="A25" s="25">
        <f>[43]일반사항!$B$4</f>
        <v>44461</v>
      </c>
      <c r="B25" s="16">
        <f>[43]일반사항!$E$28</f>
        <v>6.8650000000000002</v>
      </c>
      <c r="C25" s="45">
        <f>[43]실험기록부!$C$11</f>
        <v>1.4000000000000004</v>
      </c>
      <c r="D25" s="17">
        <f>[43]실험기록부!$D$11</f>
        <v>4.5813599901759998</v>
      </c>
      <c r="E25" s="18">
        <f>[43]실험기록부!$E$11</f>
        <v>1.8</v>
      </c>
      <c r="F25" s="19">
        <f>[43]실험기록부!$F$11</f>
        <v>6.5289999999999999</v>
      </c>
      <c r="G25" s="19">
        <f>[43]실험기록부!$G$11</f>
        <v>7.3999999999999996E-2</v>
      </c>
      <c r="H25" s="20">
        <f>[43]실험기록부!$H$11</f>
        <v>6</v>
      </c>
      <c r="I25" s="27">
        <f>[44]커버3!$G$13</f>
        <v>863</v>
      </c>
      <c r="J25" s="96">
        <f>[43]일반사항!$D$28</f>
        <v>21.75</v>
      </c>
    </row>
    <row r="26" spans="1:10" ht="20.100000000000001" customHeight="1">
      <c r="A26" s="25">
        <f>[45]일반사항!$B$4</f>
        <v>44462</v>
      </c>
      <c r="B26" s="16">
        <f>[45]일반사항!$E$28</f>
        <v>6.8049999999999997</v>
      </c>
      <c r="C26" s="45">
        <f>[45]실험기록부!$C$11</f>
        <v>1.5799999999999992</v>
      </c>
      <c r="D26" s="17">
        <f>[45]실험기록부!$D$11</f>
        <v>4.3756211113700001</v>
      </c>
      <c r="E26" s="18">
        <f>[45]실험기록부!$E$11</f>
        <v>1.2000000000000171</v>
      </c>
      <c r="F26" s="19">
        <f>[45]실험기록부!$F$11</f>
        <v>6.7401600000000004</v>
      </c>
      <c r="G26" s="19">
        <f>[45]실험기록부!$G$11</f>
        <v>5.9712000000000015E-2</v>
      </c>
      <c r="H26" s="20">
        <f>[45]실험기록부!$H$11</f>
        <v>5</v>
      </c>
      <c r="I26" s="27">
        <f>[46]커버3!$G$13</f>
        <v>630</v>
      </c>
      <c r="J26" s="96">
        <f>[45]일반사항!$D$28</f>
        <v>21.55</v>
      </c>
    </row>
    <row r="27" spans="1:10" ht="20.100000000000001" customHeight="1">
      <c r="A27" s="25">
        <f>[47]일반사항!$B$4</f>
        <v>44463</v>
      </c>
      <c r="B27" s="16">
        <f>[47]일반사항!$E$28</f>
        <v>6.8149999999999995</v>
      </c>
      <c r="C27" s="45">
        <f>[47]실험기록부!$C$11</f>
        <v>1.5400000000000009</v>
      </c>
      <c r="D27" s="17">
        <f>[47]실험기록부!$D$11</f>
        <v>4.7641674804800003</v>
      </c>
      <c r="E27" s="18">
        <f>[47]실험기록부!$E$11</f>
        <v>1.1999999999999886</v>
      </c>
      <c r="F27" s="19">
        <f>[47]실험기록부!$F$11</f>
        <v>6.0580800000000004</v>
      </c>
      <c r="G27" s="19">
        <f>[47]실험기록부!$G$11</f>
        <v>6.067199999999999E-2</v>
      </c>
      <c r="H27" s="20">
        <f>[47]실험기록부!$H$11</f>
        <v>7</v>
      </c>
      <c r="I27" s="27">
        <f>[48]커버3!$G$13</f>
        <v>595</v>
      </c>
      <c r="J27" s="96">
        <f>[47]일반사항!$D$28</f>
        <v>21.65</v>
      </c>
    </row>
    <row r="28" spans="1:10" ht="20.100000000000001" customHeight="1">
      <c r="A28" s="25">
        <f>[49]일반사항!$B$4</f>
        <v>44464</v>
      </c>
      <c r="B28" s="16">
        <f>[49]일반사항!$E$28</f>
        <v>6.8149999999999995</v>
      </c>
      <c r="C28" s="45">
        <f>[49]실험기록부!$C$11</f>
        <v>1.4399999999999995</v>
      </c>
      <c r="D28" s="17">
        <f>[49]실험기록부!$D$11</f>
        <v>3.143571840006</v>
      </c>
      <c r="E28" s="18">
        <f>[49]실험기록부!$E$11</f>
        <v>1.7</v>
      </c>
      <c r="F28" s="19">
        <f>[49]실험기록부!$F$11</f>
        <v>4.524</v>
      </c>
      <c r="G28" s="19">
        <f>[49]실험기록부!$G$11</f>
        <v>6.3E-2</v>
      </c>
      <c r="H28" s="20">
        <f>[49]실험기록부!$H$11</f>
        <v>9</v>
      </c>
      <c r="I28" s="27">
        <f>[50]커버3!$G$13</f>
        <v>585</v>
      </c>
      <c r="J28" s="96">
        <f>[49]일반사항!$D$28</f>
        <v>21.4</v>
      </c>
    </row>
    <row r="29" spans="1:10" ht="20.100000000000001" customHeight="1">
      <c r="A29" s="25">
        <f>[51]일반사항!$B$4</f>
        <v>44465</v>
      </c>
      <c r="B29" s="16">
        <f>[51]일반사항!$E$28</f>
        <v>6.79</v>
      </c>
      <c r="C29" s="45">
        <f>[51]실험기록부!$C$11</f>
        <v>1.75</v>
      </c>
      <c r="D29" s="17">
        <f>[51]실험기록부!$D$11</f>
        <v>3.9764300413939999</v>
      </c>
      <c r="E29" s="18">
        <f>[51]실험기록부!$E$11</f>
        <v>1.9</v>
      </c>
      <c r="F29" s="19">
        <f>[51]실험기록부!$F$11</f>
        <v>4.8090000000000002</v>
      </c>
      <c r="G29" s="19">
        <f>[51]실험기록부!$G$11</f>
        <v>7.4999999999999997E-2</v>
      </c>
      <c r="H29" s="20">
        <f>[51]실험기록부!$H$11</f>
        <v>4</v>
      </c>
      <c r="I29" s="27">
        <f>[52]커버3!$G$13</f>
        <v>552</v>
      </c>
      <c r="J29" s="96">
        <f>[51]일반사항!$D$28</f>
        <v>21.55</v>
      </c>
    </row>
    <row r="30" spans="1:10" ht="20.100000000000001" customHeight="1">
      <c r="A30" s="25">
        <f>[53]일반사항!$B$4</f>
        <v>44466</v>
      </c>
      <c r="B30" s="16">
        <f>[53]일반사항!$E$28</f>
        <v>6.8250000000000002</v>
      </c>
      <c r="C30" s="45">
        <f>[53]실험기록부!$C$11</f>
        <v>1.4100000000000001</v>
      </c>
      <c r="D30" s="17">
        <f>[53]실험기록부!$D$11</f>
        <v>4.6259558993300001</v>
      </c>
      <c r="E30" s="18">
        <f>[53]실험기록부!$E$11</f>
        <v>2</v>
      </c>
      <c r="F30" s="19">
        <f>[53]실험기록부!$F$11</f>
        <v>5.9078400000000002</v>
      </c>
      <c r="G30" s="19">
        <f>[53]실험기록부!$G$11</f>
        <v>5.1023999999999993E-2</v>
      </c>
      <c r="H30" s="20">
        <f>[53]실험기록부!$H$11</f>
        <v>4</v>
      </c>
      <c r="I30" s="27">
        <f>[54]커버3!$G$13</f>
        <v>595</v>
      </c>
      <c r="J30" s="96">
        <f>[53]일반사항!$D$28</f>
        <v>21.4</v>
      </c>
    </row>
    <row r="31" spans="1:10" ht="20.100000000000001" customHeight="1">
      <c r="A31" s="25">
        <f>[55]일반사항!$B$4</f>
        <v>44467</v>
      </c>
      <c r="B31" s="16">
        <f>[55]일반사항!$E$28</f>
        <v>6.8250000000000002</v>
      </c>
      <c r="C31" s="45">
        <f>[55]실험기록부!$C$11</f>
        <v>1.3200000000000003</v>
      </c>
      <c r="D31" s="17">
        <f>[55]실험기록부!$D$11</f>
        <v>3.4550411896159998</v>
      </c>
      <c r="E31" s="18">
        <f>[55]실험기록부!$E$11</f>
        <v>1.5999999999999943</v>
      </c>
      <c r="F31" s="19">
        <f>[55]실험기록부!$F$11</f>
        <v>2.8569599999999999</v>
      </c>
      <c r="G31" s="19">
        <f>[55]실험기록부!$G$11</f>
        <v>4.3727999999999996E-2</v>
      </c>
      <c r="H31" s="20">
        <f>[55]실험기록부!$H$11</f>
        <v>5.5</v>
      </c>
      <c r="I31" s="27">
        <f>[56]커버3!$G$13</f>
        <v>543</v>
      </c>
      <c r="J31" s="96">
        <f>[55]일반사항!$D$28</f>
        <v>21.55</v>
      </c>
    </row>
    <row r="32" spans="1:10" ht="20.100000000000001" customHeight="1">
      <c r="A32" s="25">
        <f>[57]일반사항!$B$4</f>
        <v>44468</v>
      </c>
      <c r="B32" s="16">
        <f>[57]일반사항!$E$28</f>
        <v>6.8449999999999998</v>
      </c>
      <c r="C32" s="45">
        <f>[57]실험기록부!$C$11</f>
        <v>1.2900000000000009</v>
      </c>
      <c r="D32" s="17">
        <f>[57]실험기록부!$D$11</f>
        <v>3.8963217601000002</v>
      </c>
      <c r="E32" s="18">
        <f>[57]실험기록부!$E$11</f>
        <v>1.7999999999999829</v>
      </c>
      <c r="F32" s="19">
        <f>[57]실험기록부!$F$11</f>
        <v>4.8763199999999998</v>
      </c>
      <c r="G32" s="19">
        <f>[57]실험기록부!$G$11</f>
        <v>6.9648000000000002E-2</v>
      </c>
      <c r="H32" s="20">
        <f>[57]실험기록부!$H$11</f>
        <v>1.5</v>
      </c>
      <c r="I32" s="27">
        <f>[58]커버3!$G$13</f>
        <v>604</v>
      </c>
      <c r="J32" s="96">
        <f>[57]일반사항!$D$28</f>
        <v>21.75</v>
      </c>
    </row>
    <row r="33" spans="1:10" ht="20.100000000000001" customHeight="1" thickBot="1">
      <c r="A33" s="28">
        <f>[59]일반사항!$B$4</f>
        <v>44469</v>
      </c>
      <c r="B33" s="29">
        <f>[59]일반사항!$E$28</f>
        <v>6.8250000000000002</v>
      </c>
      <c r="C33" s="46">
        <f>[59]실험기록부!$C$11</f>
        <v>1.8399999999999999</v>
      </c>
      <c r="D33" s="30">
        <f>[59]실험기록부!$D$11</f>
        <v>3.5548066441300001</v>
      </c>
      <c r="E33" s="31">
        <f>[59]실험기록부!$E$11</f>
        <v>1.4000000000000057</v>
      </c>
      <c r="F33" s="32">
        <f>[59]실험기록부!$F$11</f>
        <v>5.9726399999999993</v>
      </c>
      <c r="G33" s="32">
        <f>[59]실험기록부!$G$11</f>
        <v>4.8720000000000006E-2</v>
      </c>
      <c r="H33" s="33">
        <f>[59]실험기록부!$H$11</f>
        <v>7</v>
      </c>
      <c r="I33" s="34">
        <f>[60]커버3!$G$13</f>
        <v>913</v>
      </c>
      <c r="J33" s="96">
        <f>[59]일반사항!$D$28</f>
        <v>21.25</v>
      </c>
    </row>
    <row r="34" spans="1:10" ht="20.100000000000001" hidden="1" customHeight="1" thickTop="1">
      <c r="A34" s="100"/>
      <c r="B34" s="101"/>
      <c r="C34" s="102"/>
      <c r="D34" s="103"/>
      <c r="E34" s="104"/>
      <c r="F34" s="105"/>
      <c r="G34" s="105"/>
      <c r="H34" s="106"/>
      <c r="I34" s="107"/>
      <c r="J34" s="96"/>
    </row>
    <row r="35" spans="1:10" ht="20.100000000000001" customHeight="1" thickTop="1">
      <c r="A35" s="15" t="s">
        <v>0</v>
      </c>
      <c r="B35" s="37">
        <f t="shared" ref="B35:I35" si="0">MAX(B4:B33)</f>
        <v>6.9550000000000001</v>
      </c>
      <c r="C35" s="35">
        <f t="shared" si="0"/>
        <v>1.8399999999999999</v>
      </c>
      <c r="D35" s="35">
        <f t="shared" si="0"/>
        <v>14.21207098576</v>
      </c>
      <c r="E35" s="35">
        <f t="shared" si="0"/>
        <v>2.1999999999999886</v>
      </c>
      <c r="F35" s="40">
        <f t="shared" si="0"/>
        <v>8.0361600000000006</v>
      </c>
      <c r="G35" s="40">
        <f t="shared" si="0"/>
        <v>9.9000000000000005E-2</v>
      </c>
      <c r="H35" s="81">
        <f t="shared" si="0"/>
        <v>13</v>
      </c>
      <c r="I35" s="84">
        <f t="shared" si="0"/>
        <v>1040</v>
      </c>
    </row>
    <row r="36" spans="1:10" ht="20.100000000000001" customHeight="1">
      <c r="A36" s="1" t="s">
        <v>1</v>
      </c>
      <c r="B36" s="38">
        <f t="shared" ref="B36:I36" si="1">MIN(B5:B33)</f>
        <v>6.6850000000000005</v>
      </c>
      <c r="C36" s="4">
        <f t="shared" si="1"/>
        <v>0.67999999999999972</v>
      </c>
      <c r="D36" s="4">
        <f t="shared" si="1"/>
        <v>2.8563775606020001</v>
      </c>
      <c r="E36" s="4">
        <f t="shared" si="1"/>
        <v>1.1999999999999886</v>
      </c>
      <c r="F36" s="41">
        <f t="shared" si="1"/>
        <v>2.8569599999999999</v>
      </c>
      <c r="G36" s="41">
        <f t="shared" si="1"/>
        <v>3.6912E-2</v>
      </c>
      <c r="H36" s="82">
        <f t="shared" si="1"/>
        <v>1.5</v>
      </c>
      <c r="I36" s="85">
        <f t="shared" si="1"/>
        <v>516</v>
      </c>
    </row>
    <row r="37" spans="1:10" ht="20.100000000000001" customHeight="1" thickBot="1">
      <c r="A37" s="2" t="s">
        <v>2</v>
      </c>
      <c r="B37" s="39">
        <f t="shared" ref="B37:I37" si="2">AVERAGE(B4:B33)</f>
        <v>6.8579999999999988</v>
      </c>
      <c r="C37" s="36">
        <f t="shared" si="2"/>
        <v>1.3363333333333334</v>
      </c>
      <c r="D37" s="36">
        <f t="shared" si="2"/>
        <v>4.7718137813285999</v>
      </c>
      <c r="E37" s="36">
        <f t="shared" si="2"/>
        <v>1.6366666666666667</v>
      </c>
      <c r="F37" s="42">
        <f t="shared" si="2"/>
        <v>5.5669959999999978</v>
      </c>
      <c r="G37" s="42">
        <f t="shared" si="2"/>
        <v>6.4358666666666661E-2</v>
      </c>
      <c r="H37" s="83">
        <f t="shared" si="2"/>
        <v>6.3833333333333337</v>
      </c>
      <c r="I37" s="86">
        <f t="shared" si="2"/>
        <v>744.5</v>
      </c>
      <c r="J37" s="61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유입수</vt:lpstr>
      <vt:lpstr>유출수</vt:lpstr>
      <vt:lpstr>방류수</vt:lpstr>
      <vt:lpstr>방류수!Print_Area</vt:lpstr>
      <vt:lpstr>유입수!Print_Area</vt:lpstr>
      <vt:lpstr>유출수!Print_Area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WIN-7</cp:lastModifiedBy>
  <cp:lastPrinted>2021-10-06T00:00:12Z</cp:lastPrinted>
  <dcterms:created xsi:type="dcterms:W3CDTF">2012-04-09T23:45:26Z</dcterms:created>
  <dcterms:modified xsi:type="dcterms:W3CDTF">2021-10-06T00:00:14Z</dcterms:modified>
</cp:coreProperties>
</file>